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65401" windowWidth="17370" windowHeight="13170" activeTab="2"/>
  </bookViews>
  <sheets>
    <sheet name="Прилож №6" sheetId="1" r:id="rId1"/>
    <sheet name="Прилож №7" sheetId="2" r:id="rId2"/>
    <sheet name="Прилож №8" sheetId="3" r:id="rId3"/>
  </sheets>
  <definedNames>
    <definedName name="А140">'Прилож №7'!$A$160</definedName>
    <definedName name="А143">'Прилож №7'!$A$160</definedName>
    <definedName name="А146">'Прилож №7'!$A$160</definedName>
    <definedName name="_xlnm.Print_Area" localSheetId="0">'Прилож №6'!$A$1:$K$664</definedName>
  </definedNames>
  <calcPr fullCalcOnLoad="1"/>
</workbook>
</file>

<file path=xl/sharedStrings.xml><?xml version="1.0" encoding="utf-8"?>
<sst xmlns="http://schemas.openxmlformats.org/spreadsheetml/2006/main" count="7973" uniqueCount="639">
  <si>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</si>
  <si>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</si>
  <si>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</si>
  <si>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</si>
  <si>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</si>
  <si>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</si>
  <si>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</si>
  <si>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</si>
  <si>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</si>
  <si>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Приложение №6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</si>
  <si>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</si>
  <si>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</si>
  <si>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</si>
  <si>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</si>
  <si>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</si>
  <si>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</si>
  <si>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</si>
  <si>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</si>
  <si>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</si>
  <si>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470 99 00</t>
  </si>
  <si>
    <t>524 38 00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</si>
  <si>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</si>
  <si>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r>
      <t xml:space="preserve">Бюджетные инвестиции 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</si>
  <si>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</si>
  <si>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</si>
  <si>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</si>
  <si>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</si>
  <si>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</si>
  <si>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</si>
  <si>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</si>
  <si>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</si>
  <si>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</si>
  <si>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</si>
  <si>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</si>
  <si>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</si>
  <si>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</si>
  <si>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</si>
  <si>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</si>
  <si>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</si>
  <si>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</si>
  <si>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</si>
  <si>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</si>
  <si>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</si>
  <si>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</si>
  <si>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</si>
  <si>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</si>
  <si>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</si>
  <si>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</si>
  <si>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</si>
  <si>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</si>
  <si>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</si>
  <si>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</si>
  <si>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</si>
  <si>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</si>
  <si>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</si>
  <si>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</si>
  <si>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</si>
  <si>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</si>
  <si>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</si>
  <si>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</si>
  <si>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</si>
  <si>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421 03 00</t>
  </si>
  <si>
    <t>524 35 00</t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</si>
  <si>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</si>
  <si>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Закупка учебного оборудования  и мебели для  муниципальных общеобразовательных учреждений  - победителей областного конкурса  муниципальных общеобразовательных учреждений, разрабатывающих и внедряющих инновационные образовательные проекты в 2013 году за счет средств Московской области</t>
  </si>
  <si>
    <t>524 36 00</t>
  </si>
  <si>
    <t>522 04 61</t>
  </si>
  <si>
    <t>Обеспечение полноценным питанием беременных женщин, кормящих матерей, а также детей в возрасте до трех лет</t>
  </si>
  <si>
    <t>522 04 60</t>
  </si>
  <si>
    <t>522 04 62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</si>
  <si>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</si>
  <si>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522 34 00</t>
  </si>
  <si>
    <t>522 34 59</t>
  </si>
  <si>
    <t>522 34 92</t>
  </si>
  <si>
    <t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t>
  </si>
  <si>
    <t>522 34 07</t>
  </si>
  <si>
    <t>522 34 06</t>
  </si>
  <si>
    <t>505 21 04</t>
  </si>
  <si>
    <t>Оснащение помещений многофункциональных центров мебели и иными предметами бытового назначения</t>
  </si>
  <si>
    <t>436 00 00</t>
  </si>
  <si>
    <t>436 21 00</t>
  </si>
  <si>
    <t>Модернизация региональных систем общего образования</t>
  </si>
  <si>
    <t>Мероприятия в области образования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</si>
  <si>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учреждениям.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</si>
  <si>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  </r>
  </si>
  <si>
    <t>360</t>
  </si>
  <si>
    <t>Иные выплаты населению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</si>
  <si>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</si>
  <si>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</si>
  <si>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</si>
  <si>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  </r>
  </si>
  <si>
    <r>
      <t xml:space="preserve"> </t>
    </r>
    <r>
      <rPr>
        <b/>
        <sz val="11"/>
        <rFont val="Arial"/>
        <family val="2"/>
      </rP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</si>
  <si>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ул. Спортивная, дом 7а)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</si>
  <si>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</si>
  <si>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</si>
  <si>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</si>
  <si>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</t>
    </r>
    <r>
      <rPr>
        <sz val="11"/>
        <rFont val="Arial"/>
        <family val="2"/>
      </rPr>
      <t>и в объекты государственной собственности казенным учреждениям 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</si>
  <si>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</si>
  <si>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</si>
  <si>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к решению Совета депутатов г.Долгопрудного</t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</si>
  <si>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 Спортивная, дом 7а)</t>
    </r>
  </si>
  <si>
    <t>Федеральная целевая программа развития образования на 2011-2015 годы</t>
  </si>
  <si>
    <t>Реализация мероприятий федеральной целевой программы развития образования на 2011-2015 годы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</si>
  <si>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</si>
  <si>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100 89 00</t>
  </si>
  <si>
    <t>100 89 99</t>
  </si>
  <si>
    <r>
      <t xml:space="preserve">Бюджетные инвестиции  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</si>
  <si>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Публичные нормативные социальные выплаты гражданам</t>
  </si>
  <si>
    <t>800</t>
  </si>
  <si>
    <t xml:space="preserve">Расходы на выплаты </t>
  </si>
  <si>
    <t xml:space="preserve">Расходы на выплаты персоналу </t>
  </si>
  <si>
    <t>Расходы на выплаты персоналу государственных органов</t>
  </si>
  <si>
    <t>Иные специальные расходы</t>
  </si>
  <si>
    <t>Уплата  налога на имущество организаций и земельного налога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</si>
  <si>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</si>
  <si>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522 36 00</t>
  </si>
  <si>
    <t>522 36 07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</si>
  <si>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</si>
  <si>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"Содействие занятости населения Московской области на 2013-2015 годы"</t>
  </si>
  <si>
    <t>522 17 00</t>
  </si>
  <si>
    <t>522 17 04</t>
  </si>
  <si>
    <t>Долгосрочная целевая программа Московской области "Дороги Подмосковья на период 2012-2015 годов"</t>
  </si>
  <si>
    <t>Софинансирование работ по капитальному ремонту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</si>
  <si>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</si>
  <si>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Массовый спорт</t>
  </si>
  <si>
    <t>527 00 00</t>
  </si>
  <si>
    <t>527 93 00</t>
  </si>
  <si>
    <t>Долгосрочная  целевая программа Московской области "Развитие физической культуры и спорта в Московской области на 2013-2015 годы"</t>
  </si>
  <si>
    <t>Субсидия на мероприятия по обследованию тренировочных площадок в местах размещения баз команд, предназначенных для проведения тренировочных мероприятий, включенных в Программу подготовки к проведению в 2018 году в РФ чемпионата мира по футболу, в соответствии с долгосрочной целевой программой Московской области "Развитие физической культуры и спорта в Московской области на 2013-2015 годы"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</si>
  <si>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</si>
  <si>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</si>
  <si>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</si>
  <si>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522 17 03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</si>
  <si>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</si>
  <si>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098 00 00</t>
  </si>
  <si>
    <t>098 01 00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</si>
  <si>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</si>
  <si>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</si>
  <si>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</si>
  <si>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</si>
  <si>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</si>
  <si>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</si>
  <si>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</si>
  <si>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</si>
  <si>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</si>
  <si>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</si>
  <si>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</si>
  <si>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</si>
  <si>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</si>
  <si>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</si>
  <si>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</si>
  <si>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</si>
  <si>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</si>
  <si>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</si>
  <si>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</si>
  <si>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</si>
  <si>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</si>
  <si>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</si>
  <si>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</si>
  <si>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</si>
  <si>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</si>
  <si>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</si>
  <si>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</si>
  <si>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</si>
  <si>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</si>
  <si>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</si>
  <si>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</si>
  <si>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</si>
  <si>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</si>
  <si>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</si>
  <si>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</si>
  <si>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</si>
  <si>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</si>
  <si>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</si>
  <si>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</si>
  <si>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</si>
  <si>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</si>
  <si>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</si>
  <si>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</si>
  <si>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</si>
  <si>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</si>
  <si>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</si>
  <si>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</si>
  <si>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</si>
  <si>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</si>
  <si>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</si>
  <si>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</si>
  <si>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</si>
  <si>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</si>
  <si>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</si>
  <si>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</si>
  <si>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</si>
  <si>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</si>
  <si>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</si>
  <si>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</si>
  <si>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</si>
  <si>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</si>
  <si>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</si>
  <si>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</si>
  <si>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</si>
  <si>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</si>
  <si>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</si>
  <si>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</si>
  <si>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</si>
  <si>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514 01 00</t>
  </si>
  <si>
    <t>Мероприятия в области социальной политики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</si>
  <si>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</si>
  <si>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</si>
  <si>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Долгосрочная целевая программа города Долгопрудного "Повышение качества управления муниципальными финансами городского округа Долгопрудный на период 2013-2015 годов"</t>
  </si>
  <si>
    <t>795 24 00</t>
  </si>
  <si>
    <t>Пособия и компенсации гражданам и иные социальные выплаты по публичным нормативным обязательствам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</si>
  <si>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</si>
  <si>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</si>
  <si>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</si>
  <si>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</si>
  <si>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</si>
  <si>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</si>
  <si>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</si>
  <si>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</si>
  <si>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</si>
  <si>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</si>
  <si>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</si>
  <si>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</si>
  <si>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</si>
  <si>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</si>
  <si>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</si>
  <si>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</si>
  <si>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411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</si>
  <si>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: ПИР на установку общедомовых приборов учета коммунальных услуг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</si>
  <si>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</si>
  <si>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</si>
  <si>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инвестициив</t>
    </r>
    <r>
      <rPr>
        <sz val="11"/>
        <rFont val="Arial"/>
        <family val="2"/>
      </rPr>
      <t xml:space="preserve">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</si>
  <si>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</si>
  <si>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</si>
  <si>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</si>
  <si>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</si>
  <si>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</si>
  <si>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</si>
  <si>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</si>
  <si>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</si>
  <si>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</si>
  <si>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</si>
  <si>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</si>
  <si>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</si>
  <si>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</si>
  <si>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</si>
  <si>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</si>
  <si>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</si>
  <si>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</si>
  <si>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</si>
  <si>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</si>
  <si>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</si>
  <si>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</si>
  <si>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</si>
  <si>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</si>
  <si>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</si>
  <si>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</si>
  <si>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</si>
  <si>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</si>
  <si>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</si>
  <si>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</si>
  <si>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</si>
  <si>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</si>
  <si>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</si>
  <si>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</si>
  <si>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</si>
  <si>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</si>
  <si>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</si>
  <si>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</si>
  <si>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</si>
  <si>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</si>
  <si>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</si>
  <si>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</si>
  <si>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</si>
  <si>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</si>
  <si>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</si>
  <si>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</si>
  <si>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</si>
  <si>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</si>
  <si>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</si>
  <si>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</si>
  <si>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</si>
  <si>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</si>
  <si>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</si>
  <si>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</si>
  <si>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</si>
  <si>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</si>
  <si>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</si>
  <si>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</si>
  <si>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</si>
  <si>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</si>
  <si>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</si>
  <si>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</si>
  <si>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</si>
  <si>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</si>
  <si>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</si>
  <si>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</si>
  <si>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</si>
  <si>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</si>
  <si>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</si>
  <si>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</si>
  <si>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</si>
  <si>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</si>
  <si>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</si>
  <si>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</si>
  <si>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</si>
  <si>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</si>
  <si>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</si>
  <si>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</si>
  <si>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</si>
  <si>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Долгосрочная целевая программа   Московской области "Молодое поколение Подмосковья на 2013-2015 годы"</t>
  </si>
  <si>
    <t>522 10 04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</si>
  <si>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</si>
  <si>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</si>
  <si>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</si>
  <si>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</si>
  <si>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</si>
  <si>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</si>
  <si>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</si>
  <si>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</si>
  <si>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</si>
  <si>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</si>
  <si>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</si>
  <si>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</si>
  <si>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</si>
  <si>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</si>
  <si>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</si>
  <si>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</si>
  <si>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</si>
  <si>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</si>
  <si>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</si>
  <si>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</si>
  <si>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</si>
  <si>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</si>
  <si>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526 00 00</t>
  </si>
  <si>
    <t>Долгосрочная целевая программа Московской области "Развитие здравоохранения Московской области на 2013-2015 годы"</t>
  </si>
  <si>
    <t>526 03 00</t>
  </si>
  <si>
    <t>Раздел 3 "Развитие системы качественной доступной медицинской помощи"</t>
  </si>
  <si>
    <t>526 03 37</t>
  </si>
  <si>
    <t>Совершенствование системы оказания медицинской помощи больным сосудистыми заболеваниями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</si>
  <si>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</si>
  <si>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</si>
  <si>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</si>
  <si>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</si>
  <si>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</si>
  <si>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</si>
  <si>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</si>
  <si>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</si>
  <si>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</si>
  <si>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</si>
  <si>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</si>
  <si>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</si>
  <si>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</si>
  <si>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</si>
  <si>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</si>
  <si>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</si>
  <si>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</si>
  <si>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</si>
  <si>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</si>
  <si>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</si>
  <si>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</si>
  <si>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</si>
  <si>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</si>
  <si>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</si>
  <si>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</si>
  <si>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</si>
  <si>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</si>
  <si>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</si>
  <si>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</si>
  <si>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</si>
  <si>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</si>
  <si>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</si>
  <si>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граждан, уволенных с  военной службы (службы), и приравненных к ним лицам</t>
    </r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</si>
  <si>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</si>
  <si>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</si>
  <si>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</si>
  <si>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</si>
  <si>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</si>
  <si>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</si>
  <si>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</si>
  <si>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</si>
  <si>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</si>
  <si>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</si>
  <si>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</si>
  <si>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</si>
  <si>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600 05 00</t>
  </si>
  <si>
    <t>Прочие мероприятия по благоустройству городских округов и поселений</t>
  </si>
  <si>
    <t>Поддержка жилищного хозяйства</t>
  </si>
  <si>
    <t xml:space="preserve"> Исполнено  </t>
  </si>
  <si>
    <t xml:space="preserve"> % исполнения 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</si>
  <si>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</si>
  <si>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</si>
  <si>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</si>
  <si>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</si>
  <si>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>610</t>
  </si>
  <si>
    <t>630</t>
  </si>
  <si>
    <t>Субсидии некоммерческим организациям (за исключением муниципальных учреждений)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</si>
  <si>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</si>
  <si>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</si>
  <si>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</si>
  <si>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</si>
  <si>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</si>
  <si>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</si>
  <si>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</si>
  <si>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</si>
  <si>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</si>
  <si>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</si>
  <si>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</si>
  <si>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Исполнено</t>
  </si>
  <si>
    <t>Утверждено в бюджете</t>
  </si>
  <si>
    <t>% исполнения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</si>
  <si>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</si>
  <si>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</si>
  <si>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</si>
  <si>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</si>
  <si>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</si>
  <si>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</si>
  <si>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</si>
  <si>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</si>
  <si>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</si>
  <si>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</si>
  <si>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</si>
  <si>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</si>
  <si>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</si>
  <si>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</si>
  <si>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</si>
  <si>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</si>
  <si>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</si>
  <si>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</si>
  <si>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</si>
  <si>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</si>
  <si>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</si>
  <si>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</si>
  <si>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</si>
  <si>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</si>
  <si>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</si>
  <si>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</si>
  <si>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</si>
  <si>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351 05 01</t>
  </si>
  <si>
    <t>Взнос в уставные фонды муниципальных унитарных предприятий на пополнение оборотных средств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</si>
  <si>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</si>
  <si>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</si>
  <si>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</si>
  <si>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</si>
  <si>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</si>
  <si>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</si>
  <si>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</si>
  <si>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</si>
  <si>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</si>
  <si>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</si>
  <si>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</si>
  <si>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</si>
  <si>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</si>
  <si>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</si>
  <si>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</si>
  <si>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</si>
  <si>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</si>
  <si>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</si>
  <si>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</si>
  <si>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</si>
  <si>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</si>
  <si>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</si>
  <si>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</si>
  <si>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</si>
  <si>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</si>
  <si>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</si>
  <si>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</si>
  <si>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</si>
  <si>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Бюджетные инвестиции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</si>
  <si>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</si>
  <si>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</si>
  <si>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>522 09 00</t>
  </si>
  <si>
    <t>522 09 14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</si>
  <si>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</si>
  <si>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Подпрограмма "Модернизация здравоохранения Московской области на 2011-2013 годы"</t>
  </si>
  <si>
    <t>Другие вопросы в области здравоохранения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</si>
  <si>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</si>
  <si>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</si>
  <si>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</si>
  <si>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</si>
  <si>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Субсидии юридическим лицам (кроме муниципальных учреждений) и физическим лицам-производителям товаров, работ, услуг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</si>
  <si>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</si>
  <si>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№п/п</t>
  </si>
  <si>
    <t>345 00 00</t>
  </si>
  <si>
    <t>345 01 00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</si>
  <si>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</si>
  <si>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 ) хозяйства</t>
  </si>
  <si>
    <t>Наименования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</si>
  <si>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</si>
  <si>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</si>
  <si>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</si>
  <si>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</si>
  <si>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</si>
  <si>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</si>
  <si>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</si>
  <si>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</si>
  <si>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города Долгопрудного "Снижение административных барьеров,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услуг, на 2013-2016 годы"</t>
  </si>
  <si>
    <t>795 23 00</t>
  </si>
  <si>
    <t xml:space="preserve">Расходы бюджета городского округа Долгопрудный  на 2013  г. по разделам, подразделам, </t>
  </si>
  <si>
    <t>Приложение №7</t>
  </si>
  <si>
    <t>Ведомственная структура расходов  бюджета городского округа Долгопрудный  на 2013 год</t>
  </si>
  <si>
    <t>Приложение №8</t>
  </si>
  <si>
    <t>Расходы бюджета городского округа Долгопрудный на финансирование мероприятий                                                             долгосрочных целевых программ на 2013 год</t>
  </si>
  <si>
    <t>Долгосрочная целевая программа "Обеспечение жильем молодых семей в г. Долгопрудный на 2009-2012 годы"</t>
  </si>
  <si>
    <t>795 16 00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</si>
  <si>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</si>
  <si>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</si>
  <si>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</si>
  <si>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</si>
  <si>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</si>
  <si>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</si>
  <si>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</si>
  <si>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</si>
  <si>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</si>
  <si>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522 37 10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</si>
  <si>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</si>
  <si>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</si>
  <si>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</si>
  <si>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</si>
  <si>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</si>
  <si>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</si>
  <si>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</si>
  <si>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</si>
  <si>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</si>
  <si>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</si>
  <si>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</si>
  <si>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</si>
  <si>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</si>
  <si>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</si>
  <si>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</si>
  <si>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</si>
  <si>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</si>
  <si>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</si>
  <si>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</si>
  <si>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</si>
  <si>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</si>
  <si>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</si>
  <si>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</si>
  <si>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</si>
  <si>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</si>
  <si>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</si>
  <si>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</si>
  <si>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</si>
  <si>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</si>
  <si>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</si>
  <si>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</si>
  <si>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</si>
  <si>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</si>
  <si>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</si>
  <si>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</si>
  <si>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</si>
  <si>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</si>
  <si>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</si>
  <si>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</si>
  <si>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</si>
  <si>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</si>
  <si>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</si>
  <si>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</si>
  <si>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</si>
  <si>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</si>
  <si>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</si>
  <si>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</si>
  <si>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</si>
  <si>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</si>
  <si>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</si>
  <si>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522 13 02</t>
  </si>
  <si>
    <t>Капитальные  вложения в объекты общественной инфраструктуры</t>
  </si>
  <si>
    <t>436 24 00</t>
  </si>
  <si>
    <t>Возмещение части затрат в связи с предоставлением учителям общеобразовательных учреждений ипотечного кредита</t>
  </si>
  <si>
    <t>522 14 02</t>
  </si>
  <si>
    <t>Оплата первоначального взноса при получении ипотечного кредита</t>
  </si>
  <si>
    <t>431 01 00</t>
  </si>
  <si>
    <t>Проведение мероприятий для детей и молодежи</t>
  </si>
  <si>
    <t>431 10 00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</si>
  <si>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</si>
  <si>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 xml:space="preserve"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                                      </t>
  </si>
  <si>
    <t>300</t>
  </si>
  <si>
    <t>Социальное обеспечение и иные выплаты населению</t>
  </si>
  <si>
    <t>831</t>
  </si>
  <si>
    <t>830</t>
  </si>
  <si>
    <t>Иные бюджетные ассигнования</t>
  </si>
  <si>
    <t>Исполнение судебных актов</t>
  </si>
  <si>
    <t xml:space="preserve">Исполнение судебных актов РФ и мировых соглашений </t>
  </si>
  <si>
    <t xml:space="preserve"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-детских садов, школ начальных, неполных средних и средних </t>
  </si>
  <si>
    <t>Частичная компенсация стоимости питания отдельным категориям обучающихся в школах - детских садах,школах начальных, неполных средних и средних</t>
  </si>
  <si>
    <t>524 39 00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</si>
  <si>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</si>
  <si>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</si>
  <si>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</si>
  <si>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</si>
  <si>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</si>
  <si>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100 00 00</t>
  </si>
  <si>
    <t>100 88 00</t>
  </si>
  <si>
    <t>100 88 20</t>
  </si>
  <si>
    <t>3400300</t>
  </si>
  <si>
    <t>443 95 00</t>
  </si>
  <si>
    <t>Субсидии автономным учреждениям на финансовое обеспечение муниципального  задания на оказание муниципальных услуг (содержание имущества)</t>
  </si>
  <si>
    <t>Подпрограмма "Обеспечение жильем молодых семей"</t>
  </si>
  <si>
    <t>522 15 04</t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</si>
  <si>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</si>
  <si>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</si>
  <si>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</si>
  <si>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</si>
  <si>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</si>
  <si>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</si>
  <si>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</si>
  <si>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</si>
  <si>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795 14 04</t>
  </si>
  <si>
    <t>795 14 05</t>
  </si>
  <si>
    <t>795 17 01</t>
  </si>
  <si>
    <t>795 21 01</t>
  </si>
  <si>
    <t>477 00 01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</si>
  <si>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</si>
  <si>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</si>
  <si>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</si>
  <si>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</si>
  <si>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</si>
  <si>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</si>
  <si>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</si>
  <si>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</si>
  <si>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</si>
  <si>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</si>
  <si>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</si>
  <si>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</si>
  <si>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092 34 00</t>
  </si>
  <si>
    <t>Программа "Энергосбережение и повышение энергетической эффективности на период до 2020 года"</t>
  </si>
  <si>
    <t xml:space="preserve">Субсидия из федерального бюджета на реализацию мероприятий по энергосбережению и повышению энергетической эффективности, связанных с софинансированием региональных программ и расходов местных бюджетов на указанные цели </t>
  </si>
  <si>
    <t>ДЦП Московской области "Энергосбережение и повышение энергетической эффективности на территории Московской области на 2010-2020 годы"</t>
  </si>
  <si>
    <t>522 21 01</t>
  </si>
  <si>
    <t>Субсидия 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фонде, в 2013 году</t>
  </si>
  <si>
    <t xml:space="preserve">05 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</si>
  <si>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</si>
  <si>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</si>
  <si>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</si>
  <si>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</si>
  <si>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</si>
  <si>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</si>
  <si>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</si>
  <si>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>от «20» июня 2014г. №71-нр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</si>
</sst>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  <numFmt numFmtId="178" formatCode="_-* #,##0.00_р_._-;\-* #,##0.00_р_._-;_-* &quot;-&quot;?_р_._-;_-@_-"/>
    <numFmt numFmtId="179" formatCode="_-* #,##0.000_р_._-;\-* #,##0.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4" fontId="3" fillId="0" borderId="10" xfId="6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4" fontId="4" fillId="0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74" fontId="3" fillId="0" borderId="10" xfId="60" applyNumberFormat="1" applyFont="1" applyFill="1" applyBorder="1" applyAlignment="1">
      <alignment horizontal="center" wrapText="1"/>
    </xf>
    <xf numFmtId="174" fontId="3" fillId="0" borderId="10" xfId="6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74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6" fillId="0" borderId="24" xfId="0" applyFont="1" applyBorder="1" applyAlignment="1">
      <alignment wrapText="1"/>
    </xf>
    <xf numFmtId="174" fontId="3" fillId="0" borderId="10" xfId="60" applyNumberFormat="1" applyFont="1" applyFill="1" applyBorder="1" applyAlignment="1">
      <alignment horizontal="center" vertical="center"/>
    </xf>
    <xf numFmtId="174" fontId="4" fillId="0" borderId="10" xfId="60" applyNumberFormat="1" applyFont="1" applyFill="1" applyBorder="1" applyAlignment="1">
      <alignment horizontal="center" vertical="center"/>
    </xf>
    <xf numFmtId="174" fontId="4" fillId="0" borderId="10" xfId="60" applyNumberFormat="1" applyFont="1" applyFill="1" applyBorder="1" applyAlignment="1">
      <alignment/>
    </xf>
    <xf numFmtId="174" fontId="3" fillId="0" borderId="10" xfId="60" applyNumberFormat="1" applyFont="1" applyFill="1" applyBorder="1" applyAlignment="1">
      <alignment/>
    </xf>
    <xf numFmtId="174" fontId="4" fillId="0" borderId="10" xfId="60" applyNumberFormat="1" applyFont="1" applyFill="1" applyBorder="1" applyAlignment="1">
      <alignment wrapText="1"/>
    </xf>
    <xf numFmtId="174" fontId="3" fillId="0" borderId="10" xfId="60" applyNumberFormat="1" applyFont="1" applyFill="1" applyBorder="1" applyAlignment="1">
      <alignment horizontal="left"/>
    </xf>
    <xf numFmtId="174" fontId="3" fillId="0" borderId="25" xfId="60" applyNumberFormat="1" applyFont="1" applyFill="1" applyBorder="1" applyAlignment="1">
      <alignment/>
    </xf>
    <xf numFmtId="174" fontId="4" fillId="0" borderId="10" xfId="6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174" fontId="4" fillId="0" borderId="27" xfId="60" applyNumberFormat="1" applyFont="1" applyFill="1" applyBorder="1" applyAlignment="1">
      <alignment/>
    </xf>
    <xf numFmtId="174" fontId="4" fillId="0" borderId="23" xfId="6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74" fontId="3" fillId="0" borderId="27" xfId="60" applyNumberFormat="1" applyFont="1" applyFill="1" applyBorder="1" applyAlignment="1">
      <alignment/>
    </xf>
    <xf numFmtId="174" fontId="3" fillId="0" borderId="23" xfId="60" applyNumberFormat="1" applyFont="1" applyFill="1" applyBorder="1" applyAlignment="1">
      <alignment/>
    </xf>
    <xf numFmtId="174" fontId="4" fillId="0" borderId="34" xfId="60" applyNumberFormat="1" applyFont="1" applyFill="1" applyBorder="1" applyAlignment="1">
      <alignment/>
    </xf>
    <xf numFmtId="174" fontId="4" fillId="0" borderId="10" xfId="6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74" fontId="3" fillId="0" borderId="17" xfId="60" applyNumberFormat="1" applyFont="1" applyFill="1" applyBorder="1" applyAlignment="1">
      <alignment horizontal="center" wrapText="1"/>
    </xf>
    <xf numFmtId="174" fontId="0" fillId="0" borderId="13" xfId="6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4" fontId="3" fillId="0" borderId="17" xfId="6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174" fontId="0" fillId="0" borderId="22" xfId="60" applyNumberFormat="1" applyFont="1" applyBorder="1" applyAlignment="1">
      <alignment/>
    </xf>
    <xf numFmtId="174" fontId="3" fillId="0" borderId="10" xfId="6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4"/>
  <sheetViews>
    <sheetView zoomScale="75" zoomScaleNormal="75" zoomScaleSheetLayoutView="75" zoomScalePageLayoutView="0" workbookViewId="0" topLeftCell="A1">
      <selection activeCell="I17" sqref="I17"/>
    </sheetView>
  </sheetViews>
  <sheetFormatPr defaultColWidth="8.796875" defaultRowHeight="15"/>
  <cols>
    <col min="1" max="1" width="57.69921875" style="9" customWidth="1"/>
    <col min="2" max="2" width="3.59765625" style="41" customWidth="1"/>
    <col min="3" max="3" width="3.5" style="41" customWidth="1"/>
    <col min="4" max="4" width="9.3984375" style="41" customWidth="1"/>
    <col min="5" max="5" width="4.09765625" style="41" customWidth="1"/>
    <col min="6" max="6" width="0.1015625" style="41" hidden="1" customWidth="1"/>
    <col min="7" max="7" width="15.69921875" style="43" customWidth="1"/>
    <col min="8" max="8" width="15.3984375" style="43" customWidth="1"/>
    <col min="9" max="9" width="13.8984375" style="9" customWidth="1"/>
    <col min="10" max="10" width="16.09765625" style="9" customWidth="1"/>
    <col min="11" max="11" width="8.59765625" style="9" customWidth="1"/>
    <col min="12" max="16384" width="9" style="9" customWidth="1"/>
  </cols>
  <sheetData>
    <row r="1" spans="7:11" ht="15.75">
      <c r="G1" s="9"/>
      <c r="H1" s="21"/>
      <c r="I1" s="109" t="s">
        <v>9</v>
      </c>
      <c r="J1" s="109"/>
      <c r="K1" s="109"/>
    </row>
    <row r="2" spans="7:11" ht="15.75" customHeight="1">
      <c r="G2" s="9"/>
      <c r="H2" s="110" t="s">
        <v>99</v>
      </c>
      <c r="I2" s="110"/>
      <c r="J2" s="110"/>
      <c r="K2" s="110"/>
    </row>
    <row r="3" spans="7:11" ht="15.75" customHeight="1">
      <c r="G3" s="9"/>
      <c r="H3" s="21"/>
      <c r="I3" s="110" t="s">
        <v>638</v>
      </c>
      <c r="J3" s="110"/>
      <c r="K3" s="110"/>
    </row>
    <row r="4" spans="7:8" ht="14.25">
      <c r="G4" s="9"/>
      <c r="H4" s="21"/>
    </row>
    <row r="5" spans="7:8" ht="14.25">
      <c r="G5" s="9"/>
      <c r="H5" s="21"/>
    </row>
    <row r="6" spans="7:8" ht="14.25">
      <c r="G6" s="9"/>
      <c r="H6" s="21"/>
    </row>
    <row r="7" spans="1:10" ht="15.75">
      <c r="A7" s="111" t="s">
        <v>498</v>
      </c>
      <c r="B7" s="111"/>
      <c r="C7" s="111"/>
      <c r="D7" s="111"/>
      <c r="E7" s="111"/>
      <c r="F7" s="111"/>
      <c r="G7" s="111"/>
      <c r="H7" s="111"/>
      <c r="I7" s="112"/>
      <c r="J7" s="112"/>
    </row>
    <row r="8" spans="1:10" ht="15.75">
      <c r="A8" s="113" t="s">
        <v>476</v>
      </c>
      <c r="B8" s="113"/>
      <c r="C8" s="113"/>
      <c r="D8" s="113"/>
      <c r="E8" s="113"/>
      <c r="F8" s="113"/>
      <c r="G8" s="113"/>
      <c r="H8" s="113"/>
      <c r="I8" s="112"/>
      <c r="J8" s="112"/>
    </row>
    <row r="9" spans="1:10" ht="15">
      <c r="A9" s="22"/>
      <c r="B9" s="22"/>
      <c r="C9" s="22"/>
      <c r="D9" s="22"/>
      <c r="E9" s="22"/>
      <c r="F9" s="22"/>
      <c r="G9" s="22"/>
      <c r="H9" s="67"/>
      <c r="J9" s="67" t="s">
        <v>470</v>
      </c>
    </row>
    <row r="10" spans="1:11" ht="13.5" customHeight="1">
      <c r="A10" s="105" t="s">
        <v>219</v>
      </c>
      <c r="B10" s="107" t="s">
        <v>255</v>
      </c>
      <c r="C10" s="107" t="s">
        <v>256</v>
      </c>
      <c r="D10" s="107" t="s">
        <v>257</v>
      </c>
      <c r="E10" s="107" t="s">
        <v>258</v>
      </c>
      <c r="F10" s="3"/>
      <c r="G10" s="108" t="s">
        <v>179</v>
      </c>
      <c r="H10" s="103" t="s">
        <v>325</v>
      </c>
      <c r="I10" s="108" t="s">
        <v>388</v>
      </c>
      <c r="J10" s="103" t="s">
        <v>325</v>
      </c>
      <c r="K10" s="115" t="s">
        <v>389</v>
      </c>
    </row>
    <row r="11" spans="1:11" ht="81" customHeight="1">
      <c r="A11" s="106"/>
      <c r="B11" s="106"/>
      <c r="C11" s="106"/>
      <c r="D11" s="106"/>
      <c r="E11" s="106"/>
      <c r="F11" s="4"/>
      <c r="G11" s="104"/>
      <c r="H11" s="104"/>
      <c r="I11" s="114"/>
      <c r="J11" s="114"/>
      <c r="K11" s="115"/>
    </row>
    <row r="12" spans="1:11" ht="15">
      <c r="A12" s="11" t="s">
        <v>153</v>
      </c>
      <c r="B12" s="3" t="s">
        <v>259</v>
      </c>
      <c r="C12" s="3"/>
      <c r="D12" s="3"/>
      <c r="E12" s="3"/>
      <c r="F12" s="3"/>
      <c r="G12" s="48">
        <f>G13+G82+G86+G32+G19+G64</f>
        <v>215348.7</v>
      </c>
      <c r="H12" s="48">
        <f>H13+H82+H86+H32+H19+H64</f>
        <v>16572.6</v>
      </c>
      <c r="I12" s="48">
        <f>I13+I82+I86+I32+I19+I64</f>
        <v>202545.7</v>
      </c>
      <c r="J12" s="48">
        <f>J13+J82+J86+J32+J19+J64</f>
        <v>15785.899999999998</v>
      </c>
      <c r="K12" s="63">
        <f>I12/G12*100</f>
        <v>94.05475863100172</v>
      </c>
    </row>
    <row r="13" spans="1:11" ht="30">
      <c r="A13" s="47" t="str">
        <f>'Прилож №7'!A13</f>
        <v>Функционирование  высшего должностного лица субъекта РФ и муниципального образования</v>
      </c>
      <c r="B13" s="3" t="s">
        <v>259</v>
      </c>
      <c r="C13" s="3" t="s">
        <v>260</v>
      </c>
      <c r="D13" s="3"/>
      <c r="E13" s="3"/>
      <c r="F13" s="3"/>
      <c r="G13" s="48">
        <f aca="true" t="shared" si="0" ref="G13:J15">G14</f>
        <v>3333.6</v>
      </c>
      <c r="H13" s="48">
        <f t="shared" si="0"/>
        <v>0</v>
      </c>
      <c r="I13" s="48">
        <f t="shared" si="0"/>
        <v>3333.6</v>
      </c>
      <c r="J13" s="48">
        <f t="shared" si="0"/>
        <v>0</v>
      </c>
      <c r="K13" s="83"/>
    </row>
    <row r="14" spans="1:11" ht="42.75">
      <c r="A14" s="2" t="s">
        <v>320</v>
      </c>
      <c r="B14" s="4" t="s">
        <v>259</v>
      </c>
      <c r="C14" s="4" t="s">
        <v>260</v>
      </c>
      <c r="D14" s="4" t="s">
        <v>293</v>
      </c>
      <c r="E14" s="4"/>
      <c r="F14" s="4"/>
      <c r="G14" s="53">
        <f t="shared" si="0"/>
        <v>3333.6</v>
      </c>
      <c r="H14" s="53">
        <f t="shared" si="0"/>
        <v>0</v>
      </c>
      <c r="I14" s="53">
        <f t="shared" si="0"/>
        <v>3333.6</v>
      </c>
      <c r="J14" s="53">
        <f t="shared" si="0"/>
        <v>0</v>
      </c>
      <c r="K14" s="83"/>
    </row>
    <row r="15" spans="1:11" ht="14.25">
      <c r="A15" s="2" t="s">
        <v>297</v>
      </c>
      <c r="B15" s="4" t="s">
        <v>259</v>
      </c>
      <c r="C15" s="4" t="s">
        <v>260</v>
      </c>
      <c r="D15" s="4" t="s">
        <v>298</v>
      </c>
      <c r="E15" s="4"/>
      <c r="F15" s="4"/>
      <c r="G15" s="53">
        <f t="shared" si="0"/>
        <v>3333.6</v>
      </c>
      <c r="H15" s="53">
        <f t="shared" si="0"/>
        <v>0</v>
      </c>
      <c r="I15" s="53">
        <f t="shared" si="0"/>
        <v>3333.6</v>
      </c>
      <c r="J15" s="53">
        <f t="shared" si="0"/>
        <v>0</v>
      </c>
      <c r="K15" s="83"/>
    </row>
    <row r="16" spans="1:11" ht="14.25">
      <c r="A16" s="2" t="s">
        <v>525</v>
      </c>
      <c r="B16" s="4" t="s">
        <v>259</v>
      </c>
      <c r="C16" s="4" t="s">
        <v>260</v>
      </c>
      <c r="D16" s="4" t="s">
        <v>298</v>
      </c>
      <c r="E16" s="4" t="s">
        <v>393</v>
      </c>
      <c r="F16" s="4"/>
      <c r="G16" s="53">
        <f>G17+G18</f>
        <v>3333.6</v>
      </c>
      <c r="H16" s="53">
        <f>H17+H18</f>
        <v>0</v>
      </c>
      <c r="I16" s="53">
        <f>I17+I18</f>
        <v>3333.6</v>
      </c>
      <c r="J16" s="53">
        <f>J17+J18</f>
        <v>0</v>
      </c>
      <c r="K16" s="83"/>
    </row>
    <row r="17" spans="1:11" ht="14.25">
      <c r="A17" s="8" t="s">
        <v>415</v>
      </c>
      <c r="B17" s="4" t="s">
        <v>259</v>
      </c>
      <c r="C17" s="4" t="s">
        <v>260</v>
      </c>
      <c r="D17" s="4" t="s">
        <v>298</v>
      </c>
      <c r="E17" s="4" t="s">
        <v>414</v>
      </c>
      <c r="F17" s="4"/>
      <c r="G17" s="53">
        <f>'Прилож №7'!H17</f>
        <v>3006.6</v>
      </c>
      <c r="H17" s="53">
        <f>'Прилож №7'!I17</f>
        <v>0</v>
      </c>
      <c r="I17" s="53">
        <f>'Прилож №7'!J17</f>
        <v>3006.6</v>
      </c>
      <c r="J17" s="53">
        <f>'Прилож №7'!K17</f>
        <v>0</v>
      </c>
      <c r="K17" s="83"/>
    </row>
    <row r="18" spans="1:11" ht="14.25">
      <c r="A18" s="8" t="s">
        <v>417</v>
      </c>
      <c r="B18" s="4" t="s">
        <v>259</v>
      </c>
      <c r="C18" s="4" t="s">
        <v>260</v>
      </c>
      <c r="D18" s="4" t="s">
        <v>298</v>
      </c>
      <c r="E18" s="4" t="s">
        <v>416</v>
      </c>
      <c r="F18" s="4"/>
      <c r="G18" s="53">
        <f>'Прилож №7'!H18</f>
        <v>327</v>
      </c>
      <c r="H18" s="53">
        <f>'Прилож №7'!I18</f>
        <v>0</v>
      </c>
      <c r="I18" s="53">
        <f>'Прилож №7'!J18</f>
        <v>327</v>
      </c>
      <c r="J18" s="53">
        <f>'Прилож №7'!K18</f>
        <v>0</v>
      </c>
      <c r="K18" s="83"/>
    </row>
    <row r="19" spans="1:12" ht="45">
      <c r="A19" s="47" t="s">
        <v>299</v>
      </c>
      <c r="B19" s="3" t="s">
        <v>259</v>
      </c>
      <c r="C19" s="3" t="s">
        <v>264</v>
      </c>
      <c r="D19" s="3"/>
      <c r="E19" s="3"/>
      <c r="F19" s="3"/>
      <c r="G19" s="48">
        <f>G20</f>
        <v>5456.7</v>
      </c>
      <c r="H19" s="48">
        <f>H20</f>
        <v>0</v>
      </c>
      <c r="I19" s="48">
        <f>I20</f>
        <v>5425.1</v>
      </c>
      <c r="J19" s="48">
        <f>J20</f>
        <v>0</v>
      </c>
      <c r="K19" s="63">
        <f>I19/G19*100</f>
        <v>99.42089541297855</v>
      </c>
      <c r="L19" s="40"/>
    </row>
    <row r="20" spans="1:12" ht="42.75">
      <c r="A20" s="2" t="s">
        <v>296</v>
      </c>
      <c r="B20" s="4" t="s">
        <v>259</v>
      </c>
      <c r="C20" s="4" t="s">
        <v>264</v>
      </c>
      <c r="D20" s="4" t="s">
        <v>293</v>
      </c>
      <c r="E20" s="4"/>
      <c r="F20" s="4"/>
      <c r="G20" s="53">
        <f>G21+G28</f>
        <v>5456.7</v>
      </c>
      <c r="H20" s="53">
        <f>H21+H28</f>
        <v>0</v>
      </c>
      <c r="I20" s="53">
        <f>I21+I28</f>
        <v>5425.1</v>
      </c>
      <c r="J20" s="53">
        <f>J21+J28</f>
        <v>0</v>
      </c>
      <c r="K20" s="83"/>
      <c r="L20" s="40"/>
    </row>
    <row r="21" spans="1:11" ht="14.25">
      <c r="A21" s="8" t="s">
        <v>176</v>
      </c>
      <c r="B21" s="4" t="s">
        <v>259</v>
      </c>
      <c r="C21" s="4" t="s">
        <v>264</v>
      </c>
      <c r="D21" s="4" t="s">
        <v>295</v>
      </c>
      <c r="E21" s="4"/>
      <c r="F21" s="4"/>
      <c r="G21" s="53">
        <f>G22+G24+G27</f>
        <v>2552</v>
      </c>
      <c r="H21" s="53">
        <f>H22+H24+H27</f>
        <v>0</v>
      </c>
      <c r="I21" s="53">
        <f>I22+I24+I27</f>
        <v>2520.4</v>
      </c>
      <c r="J21" s="53">
        <f>J22+J24+J27</f>
        <v>0</v>
      </c>
      <c r="K21" s="83"/>
    </row>
    <row r="22" spans="1:11" ht="14.25">
      <c r="A22" s="2" t="s">
        <v>525</v>
      </c>
      <c r="B22" s="4" t="s">
        <v>259</v>
      </c>
      <c r="C22" s="4" t="s">
        <v>264</v>
      </c>
      <c r="D22" s="4" t="s">
        <v>295</v>
      </c>
      <c r="E22" s="4" t="s">
        <v>393</v>
      </c>
      <c r="F22" s="4"/>
      <c r="G22" s="53">
        <f>G23</f>
        <v>1825.9</v>
      </c>
      <c r="H22" s="53">
        <f>H23</f>
        <v>0</v>
      </c>
      <c r="I22" s="53">
        <f>I23</f>
        <v>1825</v>
      </c>
      <c r="J22" s="53">
        <f>J23</f>
        <v>0</v>
      </c>
      <c r="K22" s="83"/>
    </row>
    <row r="23" spans="1:11" ht="14.25">
      <c r="A23" s="8" t="s">
        <v>415</v>
      </c>
      <c r="B23" s="4" t="s">
        <v>259</v>
      </c>
      <c r="C23" s="4" t="s">
        <v>264</v>
      </c>
      <c r="D23" s="4" t="s">
        <v>295</v>
      </c>
      <c r="E23" s="4" t="s">
        <v>414</v>
      </c>
      <c r="F23" s="4"/>
      <c r="G23" s="53">
        <f>'Прилож №7'!H651</f>
        <v>1825.9</v>
      </c>
      <c r="H23" s="53">
        <f>'Прилож №7'!I651</f>
        <v>0</v>
      </c>
      <c r="I23" s="53">
        <f>'Прилож №7'!J651</f>
        <v>1825</v>
      </c>
      <c r="J23" s="53">
        <f>'Прилож №7'!K651</f>
        <v>0</v>
      </c>
      <c r="K23" s="83"/>
    </row>
    <row r="24" spans="1:11" ht="14.25">
      <c r="A24" s="8" t="s">
        <v>599</v>
      </c>
      <c r="B24" s="4" t="s">
        <v>259</v>
      </c>
      <c r="C24" s="4" t="s">
        <v>264</v>
      </c>
      <c r="D24" s="4" t="s">
        <v>295</v>
      </c>
      <c r="E24" s="4" t="s">
        <v>526</v>
      </c>
      <c r="F24" s="4"/>
      <c r="G24" s="53">
        <f>G25+G26</f>
        <v>723.4</v>
      </c>
      <c r="H24" s="53">
        <f>H25+H26</f>
        <v>0</v>
      </c>
      <c r="I24" s="53">
        <f>I25+I26</f>
        <v>693.4</v>
      </c>
      <c r="J24" s="53">
        <f>J25+J26</f>
        <v>0</v>
      </c>
      <c r="K24" s="83"/>
    </row>
    <row r="25" spans="1:11" ht="28.5">
      <c r="A25" s="2" t="s">
        <v>440</v>
      </c>
      <c r="B25" s="4" t="s">
        <v>259</v>
      </c>
      <c r="C25" s="4" t="s">
        <v>264</v>
      </c>
      <c r="D25" s="4" t="s">
        <v>295</v>
      </c>
      <c r="E25" s="4" t="s">
        <v>437</v>
      </c>
      <c r="F25" s="4"/>
      <c r="G25" s="53">
        <f>'Прилож №7'!H653</f>
        <v>63.1</v>
      </c>
      <c r="H25" s="53">
        <f>'Прилож №7'!I653</f>
        <v>0</v>
      </c>
      <c r="I25" s="53">
        <f>'Прилож №7'!J653</f>
        <v>63.1</v>
      </c>
      <c r="J25" s="53">
        <f>'Прилож №7'!K653</f>
        <v>0</v>
      </c>
      <c r="K25" s="83"/>
    </row>
    <row r="26" spans="1:11" ht="28.5">
      <c r="A26" s="2" t="s">
        <v>431</v>
      </c>
      <c r="B26" s="4" t="s">
        <v>259</v>
      </c>
      <c r="C26" s="4" t="s">
        <v>264</v>
      </c>
      <c r="D26" s="4" t="s">
        <v>295</v>
      </c>
      <c r="E26" s="4" t="s">
        <v>421</v>
      </c>
      <c r="F26" s="4"/>
      <c r="G26" s="53">
        <f>'Прилож №7'!H654</f>
        <v>660.3</v>
      </c>
      <c r="H26" s="53">
        <f>'Прилож №7'!I654</f>
        <v>0</v>
      </c>
      <c r="I26" s="53">
        <f>'Прилож №7'!J654</f>
        <v>630.3</v>
      </c>
      <c r="J26" s="53">
        <f>'Прилож №7'!K654</f>
        <v>0</v>
      </c>
      <c r="K26" s="83"/>
    </row>
    <row r="27" spans="1:11" ht="14.25">
      <c r="A27" s="2" t="s">
        <v>363</v>
      </c>
      <c r="B27" s="4" t="s">
        <v>259</v>
      </c>
      <c r="C27" s="4" t="s">
        <v>264</v>
      </c>
      <c r="D27" s="4" t="s">
        <v>295</v>
      </c>
      <c r="E27" s="4" t="s">
        <v>418</v>
      </c>
      <c r="F27" s="4"/>
      <c r="G27" s="53">
        <f>'Прилож №7'!H655</f>
        <v>2.7</v>
      </c>
      <c r="H27" s="53">
        <f>'Прилож №7'!I655</f>
        <v>0</v>
      </c>
      <c r="I27" s="53">
        <f>'Прилож №7'!J655</f>
        <v>2</v>
      </c>
      <c r="J27" s="53">
        <f>'Прилож №7'!K655</f>
        <v>0</v>
      </c>
      <c r="K27" s="83"/>
    </row>
    <row r="28" spans="1:11" ht="28.5">
      <c r="A28" s="2" t="s">
        <v>300</v>
      </c>
      <c r="B28" s="4" t="s">
        <v>259</v>
      </c>
      <c r="C28" s="4" t="s">
        <v>264</v>
      </c>
      <c r="D28" s="4" t="s">
        <v>301</v>
      </c>
      <c r="E28" s="6"/>
      <c r="F28" s="6"/>
      <c r="G28" s="53">
        <f>G29</f>
        <v>2904.7</v>
      </c>
      <c r="H28" s="53">
        <f>H29</f>
        <v>0</v>
      </c>
      <c r="I28" s="53">
        <f>I29</f>
        <v>2904.7</v>
      </c>
      <c r="J28" s="53">
        <f>J29</f>
        <v>0</v>
      </c>
      <c r="K28" s="83"/>
    </row>
    <row r="29" spans="1:11" ht="14.25">
      <c r="A29" s="2" t="s">
        <v>525</v>
      </c>
      <c r="B29" s="4" t="s">
        <v>259</v>
      </c>
      <c r="C29" s="4" t="s">
        <v>264</v>
      </c>
      <c r="D29" s="4" t="s">
        <v>301</v>
      </c>
      <c r="E29" s="6" t="s">
        <v>393</v>
      </c>
      <c r="F29" s="6"/>
      <c r="G29" s="53">
        <f>G30+G31</f>
        <v>2904.7</v>
      </c>
      <c r="H29" s="53">
        <f>H30+H31</f>
        <v>0</v>
      </c>
      <c r="I29" s="53">
        <f>I30+I31</f>
        <v>2904.7</v>
      </c>
      <c r="J29" s="53">
        <f>J30+J31</f>
        <v>0</v>
      </c>
      <c r="K29" s="83"/>
    </row>
    <row r="30" spans="1:11" ht="14.25">
      <c r="A30" s="8" t="s">
        <v>415</v>
      </c>
      <c r="B30" s="4" t="s">
        <v>259</v>
      </c>
      <c r="C30" s="4" t="s">
        <v>264</v>
      </c>
      <c r="D30" s="4" t="s">
        <v>301</v>
      </c>
      <c r="E30" s="6" t="s">
        <v>414</v>
      </c>
      <c r="F30" s="6" t="s">
        <v>414</v>
      </c>
      <c r="G30" s="53">
        <f>'Прилож №7'!H658</f>
        <v>2578</v>
      </c>
      <c r="H30" s="53">
        <f>'Прилож №7'!I658</f>
        <v>0</v>
      </c>
      <c r="I30" s="53">
        <f>'Прилож №7'!J658</f>
        <v>2578</v>
      </c>
      <c r="J30" s="53">
        <f>'Прилож №7'!K658</f>
        <v>0</v>
      </c>
      <c r="K30" s="83"/>
    </row>
    <row r="31" spans="1:11" ht="14.25">
      <c r="A31" s="8" t="s">
        <v>417</v>
      </c>
      <c r="B31" s="4" t="s">
        <v>259</v>
      </c>
      <c r="C31" s="4" t="s">
        <v>264</v>
      </c>
      <c r="D31" s="4" t="s">
        <v>301</v>
      </c>
      <c r="E31" s="6" t="s">
        <v>416</v>
      </c>
      <c r="F31" s="6" t="s">
        <v>416</v>
      </c>
      <c r="G31" s="53">
        <f>'Прилож №7'!H659</f>
        <v>326.7</v>
      </c>
      <c r="H31" s="53">
        <f>'Прилож №7'!I659</f>
        <v>0</v>
      </c>
      <c r="I31" s="53">
        <f>'Прилож №7'!J659</f>
        <v>326.7</v>
      </c>
      <c r="J31" s="53">
        <f>'Прилож №7'!K659</f>
        <v>0</v>
      </c>
      <c r="K31" s="83"/>
    </row>
    <row r="32" spans="1:11" ht="45">
      <c r="A32" s="47" t="s">
        <v>206</v>
      </c>
      <c r="B32" s="3" t="s">
        <v>259</v>
      </c>
      <c r="C32" s="3" t="s">
        <v>261</v>
      </c>
      <c r="D32" s="3"/>
      <c r="E32" s="3"/>
      <c r="F32" s="3"/>
      <c r="G32" s="48">
        <f>G33+G44+G52+G60</f>
        <v>98653.29999999999</v>
      </c>
      <c r="H32" s="48">
        <f>H33+H44+H52+H60</f>
        <v>10763</v>
      </c>
      <c r="I32" s="48">
        <f>I33+I44+I52+I60</f>
        <v>96360.20000000001</v>
      </c>
      <c r="J32" s="48">
        <f>J33+J44+J52+J60</f>
        <v>9976.3</v>
      </c>
      <c r="K32" s="63">
        <f>I32/G32*100</f>
        <v>97.67559726841375</v>
      </c>
    </row>
    <row r="33" spans="1:11" ht="42.75">
      <c r="A33" s="2" t="s">
        <v>296</v>
      </c>
      <c r="B33" s="4" t="s">
        <v>259</v>
      </c>
      <c r="C33" s="4" t="s">
        <v>261</v>
      </c>
      <c r="D33" s="4" t="s">
        <v>293</v>
      </c>
      <c r="E33" s="4"/>
      <c r="F33" s="4"/>
      <c r="G33" s="53">
        <f>G34</f>
        <v>87483.09999999999</v>
      </c>
      <c r="H33" s="53">
        <f>H34</f>
        <v>0</v>
      </c>
      <c r="I33" s="53">
        <f>I34</f>
        <v>85986.6</v>
      </c>
      <c r="J33" s="53">
        <f>J34</f>
        <v>0</v>
      </c>
      <c r="K33" s="83"/>
    </row>
    <row r="34" spans="1:11" ht="14.25">
      <c r="A34" s="8" t="s">
        <v>176</v>
      </c>
      <c r="B34" s="4" t="s">
        <v>259</v>
      </c>
      <c r="C34" s="4" t="s">
        <v>261</v>
      </c>
      <c r="D34" s="4" t="s">
        <v>295</v>
      </c>
      <c r="E34" s="4"/>
      <c r="F34" s="4"/>
      <c r="G34" s="53">
        <f>G35+G38+G41</f>
        <v>87483.09999999999</v>
      </c>
      <c r="H34" s="53">
        <f>H35+H38+H41</f>
        <v>0</v>
      </c>
      <c r="I34" s="53">
        <f>I35+I38+I41</f>
        <v>85986.6</v>
      </c>
      <c r="J34" s="53">
        <f>J35+J38+J41</f>
        <v>0</v>
      </c>
      <c r="K34" s="83"/>
    </row>
    <row r="35" spans="1:11" ht="14.25">
      <c r="A35" s="2" t="s">
        <v>525</v>
      </c>
      <c r="B35" s="4" t="s">
        <v>259</v>
      </c>
      <c r="C35" s="4" t="s">
        <v>261</v>
      </c>
      <c r="D35" s="4" t="s">
        <v>295</v>
      </c>
      <c r="E35" s="4" t="s">
        <v>393</v>
      </c>
      <c r="F35" s="4"/>
      <c r="G35" s="53">
        <f>G36+G37</f>
        <v>84166.09999999999</v>
      </c>
      <c r="H35" s="53">
        <f>H36+H37</f>
        <v>0</v>
      </c>
      <c r="I35" s="53">
        <f>I36+I37</f>
        <v>82878.8</v>
      </c>
      <c r="J35" s="53">
        <f>J36+J37</f>
        <v>0</v>
      </c>
      <c r="K35" s="83"/>
    </row>
    <row r="36" spans="1:11" ht="14.25">
      <c r="A36" s="8" t="s">
        <v>415</v>
      </c>
      <c r="B36" s="4" t="s">
        <v>259</v>
      </c>
      <c r="C36" s="4" t="s">
        <v>261</v>
      </c>
      <c r="D36" s="4" t="s">
        <v>295</v>
      </c>
      <c r="E36" s="4" t="s">
        <v>414</v>
      </c>
      <c r="F36" s="4"/>
      <c r="G36" s="53">
        <f>'Прилож №7'!H23</f>
        <v>84165.9</v>
      </c>
      <c r="H36" s="53">
        <f>'Прилож №7'!I23</f>
        <v>0</v>
      </c>
      <c r="I36" s="53">
        <f>'Прилож №7'!J23</f>
        <v>82878.8</v>
      </c>
      <c r="J36" s="53">
        <f>'Прилож №7'!K23</f>
        <v>0</v>
      </c>
      <c r="K36" s="83"/>
    </row>
    <row r="37" spans="1:11" ht="14.25">
      <c r="A37" s="8" t="s">
        <v>417</v>
      </c>
      <c r="B37" s="4" t="s">
        <v>259</v>
      </c>
      <c r="C37" s="4" t="s">
        <v>261</v>
      </c>
      <c r="D37" s="4" t="s">
        <v>295</v>
      </c>
      <c r="E37" s="4" t="s">
        <v>416</v>
      </c>
      <c r="F37" s="4"/>
      <c r="G37" s="53">
        <f>'Прилож №7'!H24</f>
        <v>0.1999999999999318</v>
      </c>
      <c r="H37" s="53">
        <f>'Прилож №7'!I24</f>
        <v>0</v>
      </c>
      <c r="I37" s="53">
        <f>'Прилож №7'!J24</f>
        <v>0</v>
      </c>
      <c r="J37" s="53">
        <f>'Прилож №7'!K24</f>
        <v>0</v>
      </c>
      <c r="K37" s="83"/>
    </row>
    <row r="38" spans="1:11" ht="14.25">
      <c r="A38" s="8" t="s">
        <v>599</v>
      </c>
      <c r="B38" s="4" t="s">
        <v>259</v>
      </c>
      <c r="C38" s="4" t="s">
        <v>261</v>
      </c>
      <c r="D38" s="4" t="s">
        <v>295</v>
      </c>
      <c r="E38" s="4" t="s">
        <v>526</v>
      </c>
      <c r="F38" s="4"/>
      <c r="G38" s="53">
        <f>G39+G40</f>
        <v>3119</v>
      </c>
      <c r="H38" s="53">
        <f>H39+H40</f>
        <v>0</v>
      </c>
      <c r="I38" s="53">
        <f>I39+I40</f>
        <v>2926.8</v>
      </c>
      <c r="J38" s="53">
        <f>J39+J40</f>
        <v>0</v>
      </c>
      <c r="K38" s="83"/>
    </row>
    <row r="39" spans="1:11" ht="28.5">
      <c r="A39" s="2" t="s">
        <v>440</v>
      </c>
      <c r="B39" s="4" t="s">
        <v>259</v>
      </c>
      <c r="C39" s="4" t="s">
        <v>261</v>
      </c>
      <c r="D39" s="4" t="s">
        <v>295</v>
      </c>
      <c r="E39" s="4" t="s">
        <v>437</v>
      </c>
      <c r="F39" s="4"/>
      <c r="G39" s="53">
        <f>'Прилож №7'!H26</f>
        <v>1354.3</v>
      </c>
      <c r="H39" s="53">
        <f>'Прилож №7'!I26</f>
        <v>0</v>
      </c>
      <c r="I39" s="53">
        <f>'Прилож №7'!J26</f>
        <v>1236.5</v>
      </c>
      <c r="J39" s="53">
        <f>'Прилож №7'!K26</f>
        <v>0</v>
      </c>
      <c r="K39" s="83"/>
    </row>
    <row r="40" spans="1:11" ht="28.5">
      <c r="A40" s="2" t="s">
        <v>431</v>
      </c>
      <c r="B40" s="4" t="s">
        <v>259</v>
      </c>
      <c r="C40" s="4" t="s">
        <v>261</v>
      </c>
      <c r="D40" s="4" t="s">
        <v>295</v>
      </c>
      <c r="E40" s="4" t="s">
        <v>421</v>
      </c>
      <c r="F40" s="4"/>
      <c r="G40" s="53">
        <f>'Прилож №7'!H27</f>
        <v>1764.7</v>
      </c>
      <c r="H40" s="53">
        <f>'Прилож №7'!I27</f>
        <v>0</v>
      </c>
      <c r="I40" s="53">
        <f>'Прилож №7'!J27</f>
        <v>1690.3</v>
      </c>
      <c r="J40" s="53">
        <f>'Прилож №7'!K27</f>
        <v>0</v>
      </c>
      <c r="K40" s="83"/>
    </row>
    <row r="41" spans="1:11" ht="14.25">
      <c r="A41" s="2" t="s">
        <v>553</v>
      </c>
      <c r="B41" s="4" t="s">
        <v>259</v>
      </c>
      <c r="C41" s="4" t="s">
        <v>261</v>
      </c>
      <c r="D41" s="4" t="s">
        <v>295</v>
      </c>
      <c r="E41" s="4" t="s">
        <v>527</v>
      </c>
      <c r="F41" s="4"/>
      <c r="G41" s="53">
        <f>G42+G43</f>
        <v>198</v>
      </c>
      <c r="H41" s="53">
        <f>H42+H43</f>
        <v>0</v>
      </c>
      <c r="I41" s="53">
        <f>I42+I43</f>
        <v>181</v>
      </c>
      <c r="J41" s="53">
        <f>J42+J43</f>
        <v>0</v>
      </c>
      <c r="K41" s="83"/>
    </row>
    <row r="42" spans="1:11" ht="14.25">
      <c r="A42" s="2" t="s">
        <v>363</v>
      </c>
      <c r="B42" s="4" t="s">
        <v>259</v>
      </c>
      <c r="C42" s="4" t="s">
        <v>261</v>
      </c>
      <c r="D42" s="4" t="s">
        <v>295</v>
      </c>
      <c r="E42" s="4" t="s">
        <v>418</v>
      </c>
      <c r="F42" s="4"/>
      <c r="G42" s="53">
        <f>'Прилож №7'!H29</f>
        <v>68</v>
      </c>
      <c r="H42" s="53">
        <f>'Прилож №7'!I29</f>
        <v>0</v>
      </c>
      <c r="I42" s="53">
        <f>'Прилож №7'!J29</f>
        <v>53.6</v>
      </c>
      <c r="J42" s="53">
        <f>'Прилож №7'!K29</f>
        <v>0</v>
      </c>
      <c r="K42" s="83"/>
    </row>
    <row r="43" spans="1:11" ht="14.25">
      <c r="A43" s="2" t="s">
        <v>442</v>
      </c>
      <c r="B43" s="4" t="s">
        <v>259</v>
      </c>
      <c r="C43" s="4" t="s">
        <v>261</v>
      </c>
      <c r="D43" s="4" t="s">
        <v>295</v>
      </c>
      <c r="E43" s="4" t="s">
        <v>441</v>
      </c>
      <c r="F43" s="4"/>
      <c r="G43" s="53">
        <f>'Прилож №7'!H30</f>
        <v>130</v>
      </c>
      <c r="H43" s="53">
        <f>'Прилож №7'!I30</f>
        <v>0</v>
      </c>
      <c r="I43" s="53">
        <f>'Прилож №7'!J30</f>
        <v>127.4</v>
      </c>
      <c r="J43" s="53">
        <f>'Прилож №7'!K30</f>
        <v>0</v>
      </c>
      <c r="K43" s="83"/>
    </row>
    <row r="44" spans="1:11" ht="14.25">
      <c r="A44" s="2" t="s">
        <v>530</v>
      </c>
      <c r="B44" s="4" t="s">
        <v>259</v>
      </c>
      <c r="C44" s="4" t="s">
        <v>261</v>
      </c>
      <c r="D44" s="4" t="s">
        <v>528</v>
      </c>
      <c r="E44" s="50"/>
      <c r="F44" s="4"/>
      <c r="G44" s="53">
        <f>G45</f>
        <v>2324.2</v>
      </c>
      <c r="H44" s="53">
        <f aca="true" t="shared" si="1" ref="H44:J45">H45</f>
        <v>1917</v>
      </c>
      <c r="I44" s="53">
        <f t="shared" si="1"/>
        <v>2314.3</v>
      </c>
      <c r="J44" s="53">
        <f t="shared" si="1"/>
        <v>1917</v>
      </c>
      <c r="K44" s="83"/>
    </row>
    <row r="45" spans="1:11" ht="42.75">
      <c r="A45" s="2" t="s">
        <v>613</v>
      </c>
      <c r="B45" s="4" t="s">
        <v>259</v>
      </c>
      <c r="C45" s="4" t="s">
        <v>261</v>
      </c>
      <c r="D45" s="4" t="s">
        <v>612</v>
      </c>
      <c r="E45" s="50"/>
      <c r="F45" s="4"/>
      <c r="G45" s="53">
        <f>G46</f>
        <v>2324.2</v>
      </c>
      <c r="H45" s="53">
        <f t="shared" si="1"/>
        <v>1917</v>
      </c>
      <c r="I45" s="53">
        <f t="shared" si="1"/>
        <v>2314.3</v>
      </c>
      <c r="J45" s="53">
        <f t="shared" si="1"/>
        <v>1917</v>
      </c>
      <c r="K45" s="83"/>
    </row>
    <row r="46" spans="1:11" ht="57">
      <c r="A46" s="2" t="str">
        <f>'Прилож №7'!A33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6" s="4" t="s">
        <v>259</v>
      </c>
      <c r="C46" s="4" t="s">
        <v>261</v>
      </c>
      <c r="D46" s="4" t="s">
        <v>529</v>
      </c>
      <c r="E46" s="50"/>
      <c r="F46" s="4"/>
      <c r="G46" s="53">
        <f>G47+G49</f>
        <v>2324.2</v>
      </c>
      <c r="H46" s="53">
        <f>H47+H49</f>
        <v>1917</v>
      </c>
      <c r="I46" s="53">
        <f>I47+I49</f>
        <v>2314.3</v>
      </c>
      <c r="J46" s="53">
        <f>J47+J49</f>
        <v>1917</v>
      </c>
      <c r="K46" s="83"/>
    </row>
    <row r="47" spans="1:11" ht="14.25">
      <c r="A47" s="2" t="s">
        <v>525</v>
      </c>
      <c r="B47" s="4" t="s">
        <v>259</v>
      </c>
      <c r="C47" s="4" t="s">
        <v>261</v>
      </c>
      <c r="D47" s="4" t="s">
        <v>529</v>
      </c>
      <c r="E47" s="50" t="s">
        <v>393</v>
      </c>
      <c r="F47" s="4"/>
      <c r="G47" s="53">
        <f>'Прилож №7'!H34</f>
        <v>1642.6</v>
      </c>
      <c r="H47" s="53">
        <f>'Прилож №7'!I34</f>
        <v>1642.6</v>
      </c>
      <c r="I47" s="53">
        <f>'Прилож №7'!J34</f>
        <v>1642.6</v>
      </c>
      <c r="J47" s="53">
        <f>'Прилож №7'!K34</f>
        <v>1642.6</v>
      </c>
      <c r="K47" s="83"/>
    </row>
    <row r="48" spans="1:11" ht="14.25">
      <c r="A48" s="8" t="s">
        <v>415</v>
      </c>
      <c r="B48" s="4" t="s">
        <v>259</v>
      </c>
      <c r="C48" s="4" t="s">
        <v>261</v>
      </c>
      <c r="D48" s="4" t="s">
        <v>529</v>
      </c>
      <c r="E48" s="50" t="s">
        <v>414</v>
      </c>
      <c r="F48" s="4"/>
      <c r="G48" s="53">
        <f>'Прилож №7'!H35</f>
        <v>1642.6</v>
      </c>
      <c r="H48" s="53">
        <f>'Прилож №7'!I35</f>
        <v>1642.6</v>
      </c>
      <c r="I48" s="53">
        <f>'Прилож №7'!J35</f>
        <v>1642.6</v>
      </c>
      <c r="J48" s="53">
        <f>'Прилож №7'!K35</f>
        <v>1642.6</v>
      </c>
      <c r="K48" s="83"/>
    </row>
    <row r="49" spans="1:11" ht="14.25">
      <c r="A49" s="8" t="s">
        <v>599</v>
      </c>
      <c r="B49" s="4" t="s">
        <v>259</v>
      </c>
      <c r="C49" s="4" t="s">
        <v>261</v>
      </c>
      <c r="D49" s="4" t="s">
        <v>529</v>
      </c>
      <c r="E49" s="50" t="s">
        <v>526</v>
      </c>
      <c r="F49" s="4"/>
      <c r="G49" s="53">
        <f>G51+G50</f>
        <v>681.6</v>
      </c>
      <c r="H49" s="53">
        <f>H51+H50</f>
        <v>274.40000000000003</v>
      </c>
      <c r="I49" s="53">
        <f>I51+I50</f>
        <v>671.7</v>
      </c>
      <c r="J49" s="53">
        <f>J51+J50</f>
        <v>274.40000000000003</v>
      </c>
      <c r="K49" s="83"/>
    </row>
    <row r="50" spans="1:11" ht="28.5">
      <c r="A50" s="2" t="s">
        <v>440</v>
      </c>
      <c r="B50" s="4" t="s">
        <v>259</v>
      </c>
      <c r="C50" s="4" t="s">
        <v>261</v>
      </c>
      <c r="D50" s="4" t="s">
        <v>529</v>
      </c>
      <c r="E50" s="50" t="s">
        <v>437</v>
      </c>
      <c r="F50" s="4"/>
      <c r="G50" s="53">
        <f>'Прилож №7'!H37</f>
        <v>266.3</v>
      </c>
      <c r="H50" s="53">
        <f>'Прилож №7'!I37</f>
        <v>265.6</v>
      </c>
      <c r="I50" s="53">
        <f>'Прилож №7'!J37</f>
        <v>265.6</v>
      </c>
      <c r="J50" s="53">
        <f>'Прилож №7'!K37</f>
        <v>265.6</v>
      </c>
      <c r="K50" s="83"/>
    </row>
    <row r="51" spans="1:11" ht="28.5">
      <c r="A51" s="2" t="s">
        <v>431</v>
      </c>
      <c r="B51" s="4" t="s">
        <v>259</v>
      </c>
      <c r="C51" s="4" t="s">
        <v>261</v>
      </c>
      <c r="D51" s="4" t="s">
        <v>529</v>
      </c>
      <c r="E51" s="50" t="s">
        <v>421</v>
      </c>
      <c r="F51" s="4"/>
      <c r="G51" s="53">
        <f>'Прилож №7'!H38</f>
        <v>415.3</v>
      </c>
      <c r="H51" s="53">
        <f>'Прилож №7'!I38</f>
        <v>8.8</v>
      </c>
      <c r="I51" s="53">
        <f>'Прилож №7'!J38</f>
        <v>406.1</v>
      </c>
      <c r="J51" s="53">
        <f>'Прилож №7'!K38</f>
        <v>8.8</v>
      </c>
      <c r="K51" s="83"/>
    </row>
    <row r="52" spans="1:11" ht="42.75">
      <c r="A52" s="2" t="s">
        <v>554</v>
      </c>
      <c r="B52" s="4" t="s">
        <v>259</v>
      </c>
      <c r="C52" s="4" t="s">
        <v>261</v>
      </c>
      <c r="D52" s="4" t="s">
        <v>531</v>
      </c>
      <c r="E52" s="50"/>
      <c r="F52" s="4"/>
      <c r="G52" s="53">
        <f>G53</f>
        <v>6061</v>
      </c>
      <c r="H52" s="53">
        <f aca="true" t="shared" si="2" ref="H52:J53">H53</f>
        <v>6061</v>
      </c>
      <c r="I52" s="53">
        <f t="shared" si="2"/>
        <v>5274.3</v>
      </c>
      <c r="J52" s="53">
        <f t="shared" si="2"/>
        <v>5274.3</v>
      </c>
      <c r="K52" s="83"/>
    </row>
    <row r="53" spans="1:11" ht="28.5">
      <c r="A53" s="2" t="s">
        <v>615</v>
      </c>
      <c r="B53" s="4" t="s">
        <v>259</v>
      </c>
      <c r="C53" s="4" t="s">
        <v>261</v>
      </c>
      <c r="D53" s="4" t="s">
        <v>614</v>
      </c>
      <c r="E53" s="50"/>
      <c r="F53" s="4"/>
      <c r="G53" s="53">
        <f>G54</f>
        <v>6061</v>
      </c>
      <c r="H53" s="53">
        <f t="shared" si="2"/>
        <v>6061</v>
      </c>
      <c r="I53" s="53">
        <f t="shared" si="2"/>
        <v>5274.3</v>
      </c>
      <c r="J53" s="53">
        <f t="shared" si="2"/>
        <v>5274.3</v>
      </c>
      <c r="K53" s="83"/>
    </row>
    <row r="54" spans="1:11" ht="28.5">
      <c r="A54" s="7" t="s">
        <v>616</v>
      </c>
      <c r="B54" s="4" t="s">
        <v>259</v>
      </c>
      <c r="C54" s="4" t="s">
        <v>261</v>
      </c>
      <c r="D54" s="4" t="s">
        <v>532</v>
      </c>
      <c r="E54" s="50"/>
      <c r="F54" s="4"/>
      <c r="G54" s="53">
        <f>G55+G57</f>
        <v>6061</v>
      </c>
      <c r="H54" s="53">
        <f>H55+H57</f>
        <v>6061</v>
      </c>
      <c r="I54" s="53">
        <f>I55+I57</f>
        <v>5274.3</v>
      </c>
      <c r="J54" s="53">
        <f>J55+J57</f>
        <v>5274.3</v>
      </c>
      <c r="K54" s="83"/>
    </row>
    <row r="55" spans="1:11" ht="14.25">
      <c r="A55" s="2" t="s">
        <v>525</v>
      </c>
      <c r="B55" s="4" t="s">
        <v>259</v>
      </c>
      <c r="C55" s="4" t="s">
        <v>261</v>
      </c>
      <c r="D55" s="4" t="s">
        <v>532</v>
      </c>
      <c r="E55" s="50" t="s">
        <v>393</v>
      </c>
      <c r="F55" s="4"/>
      <c r="G55" s="53">
        <f>G56</f>
        <v>4967.3</v>
      </c>
      <c r="H55" s="53">
        <f>H56</f>
        <v>4967.3</v>
      </c>
      <c r="I55" s="53">
        <f>I56</f>
        <v>4329.5</v>
      </c>
      <c r="J55" s="53">
        <f>J56</f>
        <v>4329.5</v>
      </c>
      <c r="K55" s="83"/>
    </row>
    <row r="56" spans="1:11" ht="14.25">
      <c r="A56" s="8" t="s">
        <v>415</v>
      </c>
      <c r="B56" s="4" t="s">
        <v>259</v>
      </c>
      <c r="C56" s="4" t="s">
        <v>261</v>
      </c>
      <c r="D56" s="4" t="s">
        <v>532</v>
      </c>
      <c r="E56" s="50" t="s">
        <v>414</v>
      </c>
      <c r="F56" s="4"/>
      <c r="G56" s="53">
        <f>'Прилож №7'!H43</f>
        <v>4967.3</v>
      </c>
      <c r="H56" s="53">
        <f>'Прилож №7'!I43</f>
        <v>4967.3</v>
      </c>
      <c r="I56" s="53">
        <f>'Прилож №7'!J43</f>
        <v>4329.5</v>
      </c>
      <c r="J56" s="53">
        <f>'Прилож №7'!K43</f>
        <v>4329.5</v>
      </c>
      <c r="K56" s="83"/>
    </row>
    <row r="57" spans="1:11" ht="14.25">
      <c r="A57" s="8" t="s">
        <v>599</v>
      </c>
      <c r="B57" s="4" t="s">
        <v>259</v>
      </c>
      <c r="C57" s="4" t="s">
        <v>261</v>
      </c>
      <c r="D57" s="4" t="s">
        <v>532</v>
      </c>
      <c r="E57" s="50" t="s">
        <v>526</v>
      </c>
      <c r="F57" s="4"/>
      <c r="G57" s="53">
        <f>G58+G59</f>
        <v>1093.7</v>
      </c>
      <c r="H57" s="53">
        <f>H58+H59</f>
        <v>1093.7</v>
      </c>
      <c r="I57" s="53">
        <f>I58+I59</f>
        <v>944.8</v>
      </c>
      <c r="J57" s="53">
        <f>J58+J59</f>
        <v>944.8</v>
      </c>
      <c r="K57" s="83"/>
    </row>
    <row r="58" spans="1:11" ht="28.5">
      <c r="A58" s="2" t="s">
        <v>440</v>
      </c>
      <c r="B58" s="4" t="s">
        <v>259</v>
      </c>
      <c r="C58" s="4" t="s">
        <v>261</v>
      </c>
      <c r="D58" s="4" t="s">
        <v>532</v>
      </c>
      <c r="E58" s="50" t="s">
        <v>437</v>
      </c>
      <c r="F58" s="4"/>
      <c r="G58" s="53">
        <f>'Прилож №7'!H45</f>
        <v>549</v>
      </c>
      <c r="H58" s="53">
        <f>'Прилож №7'!I45</f>
        <v>549</v>
      </c>
      <c r="I58" s="53">
        <f>'Прилож №7'!J45</f>
        <v>497.7</v>
      </c>
      <c r="J58" s="53">
        <f>'Прилож №7'!K45</f>
        <v>497.7</v>
      </c>
      <c r="K58" s="83"/>
    </row>
    <row r="59" spans="1:11" ht="28.5">
      <c r="A59" s="2" t="s">
        <v>431</v>
      </c>
      <c r="B59" s="4" t="s">
        <v>259</v>
      </c>
      <c r="C59" s="4" t="s">
        <v>261</v>
      </c>
      <c r="D59" s="4" t="s">
        <v>532</v>
      </c>
      <c r="E59" s="50" t="s">
        <v>421</v>
      </c>
      <c r="F59" s="4"/>
      <c r="G59" s="53">
        <f>'Прилож №7'!H46</f>
        <v>544.7</v>
      </c>
      <c r="H59" s="53">
        <f>'Прилож №7'!I46</f>
        <v>544.7</v>
      </c>
      <c r="I59" s="53">
        <f>'Прилож №7'!J46</f>
        <v>447.1</v>
      </c>
      <c r="J59" s="53">
        <f>'Прилож №7'!K46</f>
        <v>447.1</v>
      </c>
      <c r="K59" s="83"/>
    </row>
    <row r="60" spans="1:11" ht="42.75">
      <c r="A60" s="2" t="s">
        <v>516</v>
      </c>
      <c r="B60" s="4" t="s">
        <v>259</v>
      </c>
      <c r="C60" s="4" t="s">
        <v>261</v>
      </c>
      <c r="D60" s="4" t="s">
        <v>513</v>
      </c>
      <c r="E60" s="50"/>
      <c r="F60" s="4"/>
      <c r="G60" s="53">
        <f>G61</f>
        <v>2785</v>
      </c>
      <c r="H60" s="53">
        <f aca="true" t="shared" si="3" ref="H60:J61">H61</f>
        <v>2785</v>
      </c>
      <c r="I60" s="53">
        <f t="shared" si="3"/>
        <v>2785</v>
      </c>
      <c r="J60" s="53">
        <f t="shared" si="3"/>
        <v>2785</v>
      </c>
      <c r="K60" s="83"/>
    </row>
    <row r="61" spans="1:11" ht="57">
      <c r="A61" s="2" t="s">
        <v>617</v>
      </c>
      <c r="B61" s="4" t="s">
        <v>259</v>
      </c>
      <c r="C61" s="4" t="s">
        <v>261</v>
      </c>
      <c r="D61" s="4" t="s">
        <v>533</v>
      </c>
      <c r="E61" s="50"/>
      <c r="F61" s="4"/>
      <c r="G61" s="53">
        <f>G62</f>
        <v>2785</v>
      </c>
      <c r="H61" s="53">
        <f t="shared" si="3"/>
        <v>2785</v>
      </c>
      <c r="I61" s="53">
        <f t="shared" si="3"/>
        <v>2785</v>
      </c>
      <c r="J61" s="53">
        <f t="shared" si="3"/>
        <v>2785</v>
      </c>
      <c r="K61" s="83"/>
    </row>
    <row r="62" spans="1:11" ht="14.25">
      <c r="A62" s="2" t="s">
        <v>525</v>
      </c>
      <c r="B62" s="4" t="s">
        <v>259</v>
      </c>
      <c r="C62" s="4" t="s">
        <v>261</v>
      </c>
      <c r="D62" s="4" t="s">
        <v>533</v>
      </c>
      <c r="E62" s="50" t="s">
        <v>393</v>
      </c>
      <c r="F62" s="4"/>
      <c r="G62" s="53">
        <f>'Прилож №7'!H49</f>
        <v>2785</v>
      </c>
      <c r="H62" s="53">
        <f>'Прилож №7'!I49</f>
        <v>2785</v>
      </c>
      <c r="I62" s="53">
        <f>'Прилож №7'!J49</f>
        <v>2785</v>
      </c>
      <c r="J62" s="53">
        <f>'Прилож №7'!K49</f>
        <v>2785</v>
      </c>
      <c r="K62" s="83"/>
    </row>
    <row r="63" spans="1:11" ht="14.25">
      <c r="A63" s="8" t="s">
        <v>415</v>
      </c>
      <c r="B63" s="4" t="s">
        <v>259</v>
      </c>
      <c r="C63" s="4" t="s">
        <v>261</v>
      </c>
      <c r="D63" s="4" t="s">
        <v>533</v>
      </c>
      <c r="E63" s="50" t="s">
        <v>414</v>
      </c>
      <c r="F63" s="4"/>
      <c r="G63" s="53">
        <f>'Прилож №7'!H50</f>
        <v>2785</v>
      </c>
      <c r="H63" s="53">
        <f>'Прилож №7'!I50</f>
        <v>2785</v>
      </c>
      <c r="I63" s="53">
        <f>'Прилож №7'!J50</f>
        <v>2785</v>
      </c>
      <c r="J63" s="53">
        <f>'Прилож №7'!K50</f>
        <v>2785</v>
      </c>
      <c r="K63" s="83"/>
    </row>
    <row r="64" spans="1:11" ht="45">
      <c r="A64" s="47" t="s">
        <v>88</v>
      </c>
      <c r="B64" s="3" t="s">
        <v>259</v>
      </c>
      <c r="C64" s="3" t="s">
        <v>272</v>
      </c>
      <c r="D64" s="3"/>
      <c r="E64" s="3"/>
      <c r="F64" s="3"/>
      <c r="G64" s="48">
        <f>G65</f>
        <v>18215</v>
      </c>
      <c r="H64" s="48">
        <f>H65</f>
        <v>0</v>
      </c>
      <c r="I64" s="48">
        <f>I65</f>
        <v>17493.3</v>
      </c>
      <c r="J64" s="48">
        <f>J65</f>
        <v>0</v>
      </c>
      <c r="K64" s="63">
        <f>I64/G64*100</f>
        <v>96.03788086741696</v>
      </c>
    </row>
    <row r="65" spans="1:11" ht="43.5">
      <c r="A65" s="2" t="s">
        <v>296</v>
      </c>
      <c r="B65" s="4" t="s">
        <v>259</v>
      </c>
      <c r="C65" s="4" t="s">
        <v>272</v>
      </c>
      <c r="D65" s="4" t="s">
        <v>293</v>
      </c>
      <c r="E65" s="3"/>
      <c r="F65" s="3"/>
      <c r="G65" s="48">
        <f>G66+G74+G76</f>
        <v>18215</v>
      </c>
      <c r="H65" s="48">
        <f>H66+H74+H76</f>
        <v>0</v>
      </c>
      <c r="I65" s="48">
        <f>I66+I74+I76</f>
        <v>17493.3</v>
      </c>
      <c r="J65" s="48">
        <f>J66+J74+J76</f>
        <v>0</v>
      </c>
      <c r="K65" s="83"/>
    </row>
    <row r="66" spans="1:11" ht="14.25">
      <c r="A66" s="8" t="s">
        <v>176</v>
      </c>
      <c r="B66" s="4" t="s">
        <v>259</v>
      </c>
      <c r="C66" s="4" t="s">
        <v>272</v>
      </c>
      <c r="D66" s="4" t="s">
        <v>295</v>
      </c>
      <c r="E66" s="4"/>
      <c r="F66" s="4"/>
      <c r="G66" s="53">
        <f>G67+G70+G73</f>
        <v>14465</v>
      </c>
      <c r="H66" s="53">
        <f>H67+H70+H73</f>
        <v>0</v>
      </c>
      <c r="I66" s="53">
        <f>I67+I70+I73</f>
        <v>14011.6</v>
      </c>
      <c r="J66" s="53">
        <f>J67+J70+J73</f>
        <v>0</v>
      </c>
      <c r="K66" s="83"/>
    </row>
    <row r="67" spans="1:11" ht="14.25">
      <c r="A67" s="2" t="s">
        <v>525</v>
      </c>
      <c r="B67" s="4" t="s">
        <v>259</v>
      </c>
      <c r="C67" s="4" t="s">
        <v>272</v>
      </c>
      <c r="D67" s="4" t="s">
        <v>295</v>
      </c>
      <c r="E67" s="4" t="s">
        <v>393</v>
      </c>
      <c r="F67" s="4"/>
      <c r="G67" s="53">
        <f>G68+G69</f>
        <v>13814</v>
      </c>
      <c r="H67" s="53">
        <f>H68+H69</f>
        <v>0</v>
      </c>
      <c r="I67" s="53">
        <f>I68+I69</f>
        <v>13431.2</v>
      </c>
      <c r="J67" s="53">
        <f>J68+J69</f>
        <v>0</v>
      </c>
      <c r="K67" s="83"/>
    </row>
    <row r="68" spans="1:11" ht="14.25">
      <c r="A68" s="8" t="s">
        <v>415</v>
      </c>
      <c r="B68" s="4" t="s">
        <v>259</v>
      </c>
      <c r="C68" s="4" t="s">
        <v>272</v>
      </c>
      <c r="D68" s="4" t="s">
        <v>295</v>
      </c>
      <c r="E68" s="4" t="s">
        <v>414</v>
      </c>
      <c r="F68" s="4"/>
      <c r="G68" s="53">
        <f>'Прилож №7'!H704</f>
        <v>13781.6</v>
      </c>
      <c r="H68" s="53">
        <f>'Прилож №7'!I704</f>
        <v>0</v>
      </c>
      <c r="I68" s="53">
        <f>'Прилож №7'!J704</f>
        <v>13431.2</v>
      </c>
      <c r="J68" s="53">
        <f>'Прилож №7'!K704</f>
        <v>0</v>
      </c>
      <c r="K68" s="83"/>
    </row>
    <row r="69" spans="1:11" ht="14.25">
      <c r="A69" s="8" t="s">
        <v>417</v>
      </c>
      <c r="B69" s="4" t="s">
        <v>259</v>
      </c>
      <c r="C69" s="4" t="s">
        <v>272</v>
      </c>
      <c r="D69" s="4" t="s">
        <v>295</v>
      </c>
      <c r="E69" s="4" t="s">
        <v>416</v>
      </c>
      <c r="F69" s="4"/>
      <c r="G69" s="53">
        <f>'Прилож №7'!H705</f>
        <v>32.4</v>
      </c>
      <c r="H69" s="53">
        <f>'Прилож №7'!I705</f>
        <v>0</v>
      </c>
      <c r="I69" s="53">
        <f>'Прилож №7'!J705</f>
        <v>0</v>
      </c>
      <c r="J69" s="53">
        <f>'Прилож №7'!K705</f>
        <v>0</v>
      </c>
      <c r="K69" s="83"/>
    </row>
    <row r="70" spans="1:11" ht="14.25">
      <c r="A70" s="8" t="s">
        <v>599</v>
      </c>
      <c r="B70" s="4" t="s">
        <v>259</v>
      </c>
      <c r="C70" s="4" t="s">
        <v>272</v>
      </c>
      <c r="D70" s="4" t="s">
        <v>295</v>
      </c>
      <c r="E70" s="4" t="s">
        <v>526</v>
      </c>
      <c r="F70" s="4"/>
      <c r="G70" s="53">
        <f>G71+G72</f>
        <v>623</v>
      </c>
      <c r="H70" s="53">
        <f>H71+H72</f>
        <v>0</v>
      </c>
      <c r="I70" s="53">
        <f>I71+I72</f>
        <v>571.4</v>
      </c>
      <c r="J70" s="53">
        <f>J71+J72</f>
        <v>0</v>
      </c>
      <c r="K70" s="83"/>
    </row>
    <row r="71" spans="1:11" ht="28.5">
      <c r="A71" s="2" t="s">
        <v>440</v>
      </c>
      <c r="B71" s="4" t="s">
        <v>259</v>
      </c>
      <c r="C71" s="4" t="s">
        <v>272</v>
      </c>
      <c r="D71" s="4" t="s">
        <v>295</v>
      </c>
      <c r="E71" s="6" t="s">
        <v>437</v>
      </c>
      <c r="F71" s="4"/>
      <c r="G71" s="53">
        <f>'Прилож №7'!H707</f>
        <v>355.4</v>
      </c>
      <c r="H71" s="53">
        <f>'Прилож №7'!I707</f>
        <v>0</v>
      </c>
      <c r="I71" s="53">
        <f>'Прилож №7'!J707</f>
        <v>344.3</v>
      </c>
      <c r="J71" s="53">
        <f>'Прилож №7'!K707</f>
        <v>0</v>
      </c>
      <c r="K71" s="83"/>
    </row>
    <row r="72" spans="1:11" ht="28.5">
      <c r="A72" s="2" t="s">
        <v>431</v>
      </c>
      <c r="B72" s="4" t="s">
        <v>259</v>
      </c>
      <c r="C72" s="4" t="s">
        <v>272</v>
      </c>
      <c r="D72" s="4" t="s">
        <v>295</v>
      </c>
      <c r="E72" s="6" t="s">
        <v>421</v>
      </c>
      <c r="F72" s="4"/>
      <c r="G72" s="53">
        <f>'Прилож №7'!H708</f>
        <v>267.6</v>
      </c>
      <c r="H72" s="53">
        <f>'Прилож №7'!I708</f>
        <v>0</v>
      </c>
      <c r="I72" s="53">
        <f>'Прилож №7'!J708</f>
        <v>227.1</v>
      </c>
      <c r="J72" s="53">
        <f>'Прилож №7'!K708</f>
        <v>0</v>
      </c>
      <c r="K72" s="83"/>
    </row>
    <row r="73" spans="1:11" ht="14.25">
      <c r="A73" s="2" t="s">
        <v>363</v>
      </c>
      <c r="B73" s="4" t="s">
        <v>259</v>
      </c>
      <c r="C73" s="4" t="s">
        <v>272</v>
      </c>
      <c r="D73" s="4" t="s">
        <v>295</v>
      </c>
      <c r="E73" s="4" t="s">
        <v>418</v>
      </c>
      <c r="F73" s="4"/>
      <c r="G73" s="53">
        <f>'Прилож №7'!H709</f>
        <v>28</v>
      </c>
      <c r="H73" s="53">
        <f>'Прилож №7'!I709</f>
        <v>0</v>
      </c>
      <c r="I73" s="53">
        <f>'Прилож №7'!J709</f>
        <v>9</v>
      </c>
      <c r="J73" s="53">
        <f>'Прилож №7'!K709</f>
        <v>0</v>
      </c>
      <c r="K73" s="83"/>
    </row>
    <row r="74" spans="1:11" ht="28.5">
      <c r="A74" s="2" t="s">
        <v>6</v>
      </c>
      <c r="B74" s="4" t="s">
        <v>259</v>
      </c>
      <c r="C74" s="4" t="s">
        <v>272</v>
      </c>
      <c r="D74" s="4" t="s">
        <v>5</v>
      </c>
      <c r="E74" s="4"/>
      <c r="F74" s="6"/>
      <c r="G74" s="53">
        <f>G75</f>
        <v>1174.5</v>
      </c>
      <c r="H74" s="53">
        <f>H75</f>
        <v>0</v>
      </c>
      <c r="I74" s="53">
        <f>I75</f>
        <v>1158.3</v>
      </c>
      <c r="J74" s="53">
        <f>J75</f>
        <v>0</v>
      </c>
      <c r="K74" s="83"/>
    </row>
    <row r="75" spans="1:11" ht="14.25">
      <c r="A75" s="8" t="s">
        <v>415</v>
      </c>
      <c r="B75" s="4" t="s">
        <v>259</v>
      </c>
      <c r="C75" s="4" t="s">
        <v>272</v>
      </c>
      <c r="D75" s="4" t="s">
        <v>5</v>
      </c>
      <c r="E75" s="6" t="s">
        <v>414</v>
      </c>
      <c r="F75" s="6" t="s">
        <v>414</v>
      </c>
      <c r="G75" s="53">
        <f>'Прилож №7'!H810</f>
        <v>1174.5</v>
      </c>
      <c r="H75" s="53">
        <f>'Прилож №7'!I810</f>
        <v>0</v>
      </c>
      <c r="I75" s="53">
        <f>'Прилож №7'!J810</f>
        <v>1158.3</v>
      </c>
      <c r="J75" s="53">
        <f>'Прилож №7'!K810</f>
        <v>0</v>
      </c>
      <c r="K75" s="83"/>
    </row>
    <row r="76" spans="1:11" ht="14.25">
      <c r="A76" s="8" t="s">
        <v>8</v>
      </c>
      <c r="B76" s="4" t="s">
        <v>259</v>
      </c>
      <c r="C76" s="4" t="s">
        <v>272</v>
      </c>
      <c r="D76" s="4" t="s">
        <v>7</v>
      </c>
      <c r="E76" s="6"/>
      <c r="F76" s="6"/>
      <c r="G76" s="53">
        <f>G77+G79+G78</f>
        <v>2575.5</v>
      </c>
      <c r="H76" s="53">
        <f>H77+H79+H78</f>
        <v>0</v>
      </c>
      <c r="I76" s="53">
        <f>I77+I79+I78</f>
        <v>2323.4</v>
      </c>
      <c r="J76" s="53">
        <f>J77+J79+J78</f>
        <v>0</v>
      </c>
      <c r="K76" s="83"/>
    </row>
    <row r="77" spans="1:11" ht="14.25">
      <c r="A77" s="8" t="s">
        <v>415</v>
      </c>
      <c r="B77" s="4" t="s">
        <v>259</v>
      </c>
      <c r="C77" s="4" t="s">
        <v>272</v>
      </c>
      <c r="D77" s="4" t="s">
        <v>7</v>
      </c>
      <c r="E77" s="6" t="s">
        <v>414</v>
      </c>
      <c r="F77" s="6" t="s">
        <v>414</v>
      </c>
      <c r="G77" s="53">
        <f>'Прилож №7'!H812</f>
        <v>1602.1</v>
      </c>
      <c r="H77" s="53">
        <f>'Прилож №7'!I812</f>
        <v>0</v>
      </c>
      <c r="I77" s="53">
        <f>'Прилож №7'!J812</f>
        <v>1442.5</v>
      </c>
      <c r="J77" s="53">
        <f>'Прилож №7'!K812</f>
        <v>0</v>
      </c>
      <c r="K77" s="83"/>
    </row>
    <row r="78" spans="1:11" ht="14.25">
      <c r="A78" s="8" t="s">
        <v>417</v>
      </c>
      <c r="B78" s="4" t="s">
        <v>259</v>
      </c>
      <c r="C78" s="4" t="s">
        <v>272</v>
      </c>
      <c r="D78" s="4" t="s">
        <v>7</v>
      </c>
      <c r="E78" s="6" t="s">
        <v>416</v>
      </c>
      <c r="F78" s="6"/>
      <c r="G78" s="53">
        <f>'Прилож №7'!H813</f>
        <v>8.4</v>
      </c>
      <c r="H78" s="53">
        <f>'Прилож №7'!I813</f>
        <v>0</v>
      </c>
      <c r="I78" s="53">
        <f>'Прилож №7'!J813</f>
        <v>7.8</v>
      </c>
      <c r="J78" s="53">
        <f>'Прилож №7'!K813</f>
        <v>0</v>
      </c>
      <c r="K78" s="83"/>
    </row>
    <row r="79" spans="1:11" ht="14.25">
      <c r="A79" s="8" t="s">
        <v>599</v>
      </c>
      <c r="B79" s="4" t="s">
        <v>259</v>
      </c>
      <c r="C79" s="4" t="s">
        <v>272</v>
      </c>
      <c r="D79" s="4" t="s">
        <v>7</v>
      </c>
      <c r="E79" s="6" t="s">
        <v>526</v>
      </c>
      <c r="F79" s="6" t="s">
        <v>526</v>
      </c>
      <c r="G79" s="53">
        <f>G80+G81</f>
        <v>965</v>
      </c>
      <c r="H79" s="53">
        <f>H80+H81</f>
        <v>0</v>
      </c>
      <c r="I79" s="53">
        <f>I80+I81</f>
        <v>873.1</v>
      </c>
      <c r="J79" s="53">
        <f>J80+J81</f>
        <v>0</v>
      </c>
      <c r="K79" s="83"/>
    </row>
    <row r="80" spans="1:11" ht="28.5">
      <c r="A80" s="2" t="s">
        <v>440</v>
      </c>
      <c r="B80" s="4" t="s">
        <v>259</v>
      </c>
      <c r="C80" s="4" t="s">
        <v>272</v>
      </c>
      <c r="D80" s="4" t="s">
        <v>7</v>
      </c>
      <c r="E80" s="6" t="s">
        <v>437</v>
      </c>
      <c r="F80" s="6" t="s">
        <v>437</v>
      </c>
      <c r="G80" s="53">
        <f>'Прилож №7'!H815</f>
        <v>48</v>
      </c>
      <c r="H80" s="53">
        <f>'Прилож №7'!I815</f>
        <v>0</v>
      </c>
      <c r="I80" s="53">
        <f>'Прилож №7'!J815</f>
        <v>43</v>
      </c>
      <c r="J80" s="53">
        <f>'Прилож №7'!K815</f>
        <v>0</v>
      </c>
      <c r="K80" s="83"/>
    </row>
    <row r="81" spans="1:11" ht="28.5">
      <c r="A81" s="2" t="s">
        <v>431</v>
      </c>
      <c r="B81" s="4" t="s">
        <v>259</v>
      </c>
      <c r="C81" s="4" t="s">
        <v>272</v>
      </c>
      <c r="D81" s="4" t="s">
        <v>7</v>
      </c>
      <c r="E81" s="6" t="s">
        <v>421</v>
      </c>
      <c r="F81" s="6" t="s">
        <v>421</v>
      </c>
      <c r="G81" s="53">
        <f>'Прилож №7'!H816</f>
        <v>917</v>
      </c>
      <c r="H81" s="53">
        <f>'Прилож №7'!I816</f>
        <v>0</v>
      </c>
      <c r="I81" s="53">
        <f>'Прилож №7'!J816</f>
        <v>830.1</v>
      </c>
      <c r="J81" s="53">
        <f>'Прилож №7'!K816</f>
        <v>0</v>
      </c>
      <c r="K81" s="83"/>
    </row>
    <row r="82" spans="1:11" ht="20.25" customHeight="1">
      <c r="A82" s="11" t="s">
        <v>152</v>
      </c>
      <c r="B82" s="3" t="s">
        <v>259</v>
      </c>
      <c r="C82" s="3" t="s">
        <v>327</v>
      </c>
      <c r="D82" s="3"/>
      <c r="E82" s="3"/>
      <c r="F82" s="3" t="s">
        <v>142</v>
      </c>
      <c r="G82" s="48">
        <f>G83</f>
        <v>4136.7</v>
      </c>
      <c r="H82" s="48">
        <f aca="true" t="shared" si="4" ref="H82:J84">H83</f>
        <v>0</v>
      </c>
      <c r="I82" s="48">
        <f t="shared" si="4"/>
        <v>0</v>
      </c>
      <c r="J82" s="48">
        <f t="shared" si="4"/>
        <v>0</v>
      </c>
      <c r="K82" s="83"/>
    </row>
    <row r="83" spans="1:11" ht="14.25">
      <c r="A83" s="8" t="s">
        <v>152</v>
      </c>
      <c r="B83" s="4" t="s">
        <v>259</v>
      </c>
      <c r="C83" s="4" t="s">
        <v>327</v>
      </c>
      <c r="D83" s="4" t="s">
        <v>154</v>
      </c>
      <c r="E83" s="4"/>
      <c r="F83" s="4"/>
      <c r="G83" s="53">
        <f>G84</f>
        <v>4136.7</v>
      </c>
      <c r="H83" s="53">
        <f t="shared" si="4"/>
        <v>0</v>
      </c>
      <c r="I83" s="53">
        <f t="shared" si="4"/>
        <v>0</v>
      </c>
      <c r="J83" s="53">
        <f t="shared" si="4"/>
        <v>0</v>
      </c>
      <c r="K83" s="83"/>
    </row>
    <row r="84" spans="1:11" ht="28.5">
      <c r="A84" s="2" t="s">
        <v>244</v>
      </c>
      <c r="B84" s="4" t="s">
        <v>259</v>
      </c>
      <c r="C84" s="4" t="s">
        <v>327</v>
      </c>
      <c r="D84" s="4" t="s">
        <v>245</v>
      </c>
      <c r="E84" s="4"/>
      <c r="F84" s="4"/>
      <c r="G84" s="53">
        <f>G85</f>
        <v>4136.7</v>
      </c>
      <c r="H84" s="53">
        <f t="shared" si="4"/>
        <v>0</v>
      </c>
      <c r="I84" s="53">
        <f t="shared" si="4"/>
        <v>0</v>
      </c>
      <c r="J84" s="53">
        <f t="shared" si="4"/>
        <v>0</v>
      </c>
      <c r="K84" s="83"/>
    </row>
    <row r="85" spans="1:11" ht="14.25">
      <c r="A85" s="8" t="s">
        <v>420</v>
      </c>
      <c r="B85" s="4" t="s">
        <v>259</v>
      </c>
      <c r="C85" s="4" t="s">
        <v>327</v>
      </c>
      <c r="D85" s="4" t="s">
        <v>245</v>
      </c>
      <c r="E85" s="6" t="s">
        <v>419</v>
      </c>
      <c r="F85" s="4"/>
      <c r="G85" s="53">
        <f>'Прилож №7'!H54</f>
        <v>4136.7</v>
      </c>
      <c r="H85" s="53">
        <f>'Прилож №7'!I54</f>
        <v>0</v>
      </c>
      <c r="I85" s="53">
        <f>'Прилож №7'!J54</f>
        <v>0</v>
      </c>
      <c r="J85" s="53">
        <f>'Прилож №7'!K54</f>
        <v>0</v>
      </c>
      <c r="K85" s="83"/>
    </row>
    <row r="86" spans="1:11" ht="18.75" customHeight="1">
      <c r="A86" s="11" t="s">
        <v>190</v>
      </c>
      <c r="B86" s="3" t="s">
        <v>259</v>
      </c>
      <c r="C86" s="3" t="s">
        <v>326</v>
      </c>
      <c r="D86" s="3"/>
      <c r="E86" s="3"/>
      <c r="F86" s="3"/>
      <c r="G86" s="48">
        <f>G87+G96+G108+G102</f>
        <v>85553.4</v>
      </c>
      <c r="H86" s="48">
        <f>H87+H96+H108+H102</f>
        <v>5809.599999999999</v>
      </c>
      <c r="I86" s="48">
        <f>I87+I96+I108+I102</f>
        <v>79933.5</v>
      </c>
      <c r="J86" s="48">
        <f>J87+J96+J108+J102</f>
        <v>5809.599999999999</v>
      </c>
      <c r="K86" s="63">
        <f>I86/G86*100</f>
        <v>93.43112021263913</v>
      </c>
    </row>
    <row r="87" spans="1:11" ht="42.75">
      <c r="A87" s="2" t="s">
        <v>296</v>
      </c>
      <c r="B87" s="4" t="s">
        <v>259</v>
      </c>
      <c r="C87" s="4" t="s">
        <v>326</v>
      </c>
      <c r="D87" s="4" t="s">
        <v>293</v>
      </c>
      <c r="E87" s="4"/>
      <c r="F87" s="4"/>
      <c r="G87" s="53">
        <f>G88</f>
        <v>30727.100000000002</v>
      </c>
      <c r="H87" s="53">
        <f>H88</f>
        <v>0</v>
      </c>
      <c r="I87" s="53">
        <f>I88</f>
        <v>29075</v>
      </c>
      <c r="J87" s="53">
        <f>J88</f>
        <v>0</v>
      </c>
      <c r="K87" s="83"/>
    </row>
    <row r="88" spans="1:11" ht="14.25">
      <c r="A88" s="2" t="s">
        <v>176</v>
      </c>
      <c r="B88" s="4" t="s">
        <v>259</v>
      </c>
      <c r="C88" s="4" t="s">
        <v>326</v>
      </c>
      <c r="D88" s="4" t="s">
        <v>295</v>
      </c>
      <c r="E88" s="4"/>
      <c r="F88" s="4"/>
      <c r="G88" s="53">
        <f>G89+G92+G95</f>
        <v>30727.100000000002</v>
      </c>
      <c r="H88" s="53">
        <f>H89+H92+H95</f>
        <v>0</v>
      </c>
      <c r="I88" s="53">
        <f>I89+I92+I95</f>
        <v>29075</v>
      </c>
      <c r="J88" s="53">
        <f>J89+J92+J95</f>
        <v>0</v>
      </c>
      <c r="K88" s="83"/>
    </row>
    <row r="89" spans="1:11" ht="14.25">
      <c r="A89" s="2" t="s">
        <v>525</v>
      </c>
      <c r="B89" s="4" t="s">
        <v>259</v>
      </c>
      <c r="C89" s="4" t="s">
        <v>326</v>
      </c>
      <c r="D89" s="4" t="s">
        <v>295</v>
      </c>
      <c r="E89" s="4" t="s">
        <v>393</v>
      </c>
      <c r="F89" s="4"/>
      <c r="G89" s="53">
        <f>G90+G91</f>
        <v>28873</v>
      </c>
      <c r="H89" s="53">
        <f>H90+H91</f>
        <v>0</v>
      </c>
      <c r="I89" s="53">
        <f>I90+I91</f>
        <v>27502.7</v>
      </c>
      <c r="J89" s="53">
        <f>J90+J91</f>
        <v>0</v>
      </c>
      <c r="K89" s="83"/>
    </row>
    <row r="90" spans="1:11" ht="14.25">
      <c r="A90" s="8" t="s">
        <v>415</v>
      </c>
      <c r="B90" s="4" t="s">
        <v>259</v>
      </c>
      <c r="C90" s="4" t="s">
        <v>326</v>
      </c>
      <c r="D90" s="4" t="s">
        <v>295</v>
      </c>
      <c r="E90" s="4" t="s">
        <v>414</v>
      </c>
      <c r="F90" s="4"/>
      <c r="G90" s="53">
        <f>'Прилож №7'!H675+'Прилож №7'!H732</f>
        <v>28853</v>
      </c>
      <c r="H90" s="53">
        <f>'Прилож №7'!I675+'Прилож №7'!I732</f>
        <v>0</v>
      </c>
      <c r="I90" s="53">
        <f>'Прилож №7'!J675+'Прилож №7'!J732</f>
        <v>27502.7</v>
      </c>
      <c r="J90" s="53">
        <f>'Прилож №7'!K675+'Прилож №7'!K732</f>
        <v>0</v>
      </c>
      <c r="K90" s="83"/>
    </row>
    <row r="91" spans="1:11" ht="14.25">
      <c r="A91" s="8" t="s">
        <v>417</v>
      </c>
      <c r="B91" s="4" t="s">
        <v>259</v>
      </c>
      <c r="C91" s="4" t="s">
        <v>326</v>
      </c>
      <c r="D91" s="4" t="s">
        <v>295</v>
      </c>
      <c r="E91" s="4" t="s">
        <v>416</v>
      </c>
      <c r="F91" s="4"/>
      <c r="G91" s="53">
        <f>'Прилож №7'!H733</f>
        <v>20</v>
      </c>
      <c r="H91" s="53">
        <f>'Прилож №7'!I733</f>
        <v>0</v>
      </c>
      <c r="I91" s="53">
        <f>'Прилож №7'!J733</f>
        <v>0</v>
      </c>
      <c r="J91" s="53">
        <f>'Прилож №7'!K733</f>
        <v>0</v>
      </c>
      <c r="K91" s="83"/>
    </row>
    <row r="92" spans="1:11" ht="14.25">
      <c r="A92" s="8" t="s">
        <v>599</v>
      </c>
      <c r="B92" s="4" t="s">
        <v>259</v>
      </c>
      <c r="C92" s="4" t="s">
        <v>326</v>
      </c>
      <c r="D92" s="4" t="s">
        <v>295</v>
      </c>
      <c r="E92" s="4" t="s">
        <v>526</v>
      </c>
      <c r="F92" s="4"/>
      <c r="G92" s="53">
        <f>G93+G94</f>
        <v>1792.4</v>
      </c>
      <c r="H92" s="53">
        <f>H93+H94</f>
        <v>0</v>
      </c>
      <c r="I92" s="53">
        <f>I93+I94</f>
        <v>1560.6</v>
      </c>
      <c r="J92" s="53">
        <f>J93+J94</f>
        <v>0</v>
      </c>
      <c r="K92" s="83"/>
    </row>
    <row r="93" spans="1:11" ht="28.5">
      <c r="A93" s="2" t="s">
        <v>440</v>
      </c>
      <c r="B93" s="4" t="s">
        <v>259</v>
      </c>
      <c r="C93" s="4" t="s">
        <v>326</v>
      </c>
      <c r="D93" s="4" t="s">
        <v>295</v>
      </c>
      <c r="E93" s="4" t="s">
        <v>437</v>
      </c>
      <c r="F93" s="4"/>
      <c r="G93" s="53">
        <f>'Прилож №7'!H735+'Прилож №7'!H677</f>
        <v>837</v>
      </c>
      <c r="H93" s="53">
        <f>'Прилож №7'!I735+'Прилож №7'!I677</f>
        <v>0</v>
      </c>
      <c r="I93" s="53">
        <f>'Прилож №7'!J735+'Прилож №7'!J677</f>
        <v>807.5</v>
      </c>
      <c r="J93" s="53">
        <f>'Прилож №7'!K735+'Прилож №7'!K677</f>
        <v>0</v>
      </c>
      <c r="K93" s="83"/>
    </row>
    <row r="94" spans="1:11" ht="28.5">
      <c r="A94" s="2" t="s">
        <v>431</v>
      </c>
      <c r="B94" s="4" t="s">
        <v>259</v>
      </c>
      <c r="C94" s="4" t="s">
        <v>326</v>
      </c>
      <c r="D94" s="4" t="s">
        <v>295</v>
      </c>
      <c r="E94" s="4" t="s">
        <v>421</v>
      </c>
      <c r="F94" s="4"/>
      <c r="G94" s="53">
        <f>'Прилож №7'!H736+'Прилож №7'!H678</f>
        <v>955.4000000000001</v>
      </c>
      <c r="H94" s="53">
        <f>'Прилож №7'!I736+'Прилож №7'!I678</f>
        <v>0</v>
      </c>
      <c r="I94" s="53">
        <f>'Прилож №7'!J736+'Прилож №7'!J678</f>
        <v>753.1</v>
      </c>
      <c r="J94" s="53">
        <f>'Прилож №7'!K736+'Прилож №7'!K678</f>
        <v>0</v>
      </c>
      <c r="K94" s="83"/>
    </row>
    <row r="95" spans="1:11" ht="14.25">
      <c r="A95" s="2" t="s">
        <v>363</v>
      </c>
      <c r="B95" s="4" t="s">
        <v>259</v>
      </c>
      <c r="C95" s="4" t="s">
        <v>326</v>
      </c>
      <c r="D95" s="4" t="s">
        <v>295</v>
      </c>
      <c r="E95" s="4" t="s">
        <v>418</v>
      </c>
      <c r="F95" s="4"/>
      <c r="G95" s="53">
        <f>'Прилож №7'!H679+'Прилож №7'!H737</f>
        <v>61.7</v>
      </c>
      <c r="H95" s="53">
        <f>'Прилож №7'!I679+'Прилож №7'!I737</f>
        <v>0</v>
      </c>
      <c r="I95" s="53">
        <f>'Прилож №7'!J679+'Прилож №7'!J737</f>
        <v>11.7</v>
      </c>
      <c r="J95" s="53">
        <f>'Прилож №7'!K679+'Прилож №7'!K737</f>
        <v>0</v>
      </c>
      <c r="K95" s="83"/>
    </row>
    <row r="96" spans="1:11" ht="28.5">
      <c r="A96" s="2" t="s">
        <v>271</v>
      </c>
      <c r="B96" s="4" t="s">
        <v>259</v>
      </c>
      <c r="C96" s="4" t="s">
        <v>326</v>
      </c>
      <c r="D96" s="4" t="s">
        <v>237</v>
      </c>
      <c r="E96" s="4"/>
      <c r="F96" s="6"/>
      <c r="G96" s="53">
        <f>G97+G100</f>
        <v>4726.3</v>
      </c>
      <c r="H96" s="53">
        <f>H97+H100</f>
        <v>0</v>
      </c>
      <c r="I96" s="53">
        <f>I97+I100</f>
        <v>4455</v>
      </c>
      <c r="J96" s="53">
        <f>J97+J100</f>
        <v>0</v>
      </c>
      <c r="K96" s="83"/>
    </row>
    <row r="97" spans="1:11" ht="14.25">
      <c r="A97" s="8" t="s">
        <v>187</v>
      </c>
      <c r="B97" s="4" t="s">
        <v>259</v>
      </c>
      <c r="C97" s="4" t="s">
        <v>326</v>
      </c>
      <c r="D97" s="4" t="s">
        <v>270</v>
      </c>
      <c r="E97" s="4"/>
      <c r="F97" s="6"/>
      <c r="G97" s="53">
        <f>G98+G99</f>
        <v>3726.3</v>
      </c>
      <c r="H97" s="53">
        <f>H98+H99</f>
        <v>0</v>
      </c>
      <c r="I97" s="53">
        <f>I98+I99</f>
        <v>3455</v>
      </c>
      <c r="J97" s="53">
        <f>J98+J99</f>
        <v>0</v>
      </c>
      <c r="K97" s="83"/>
    </row>
    <row r="98" spans="1:11" ht="28.5">
      <c r="A98" s="2" t="s">
        <v>431</v>
      </c>
      <c r="B98" s="4" t="s">
        <v>259</v>
      </c>
      <c r="C98" s="4" t="s">
        <v>326</v>
      </c>
      <c r="D98" s="4" t="s">
        <v>270</v>
      </c>
      <c r="E98" s="6" t="s">
        <v>421</v>
      </c>
      <c r="F98" s="6"/>
      <c r="G98" s="53">
        <f>'Прилож №7'!H740+'Прилож №7'!H57</f>
        <v>3344.3</v>
      </c>
      <c r="H98" s="53">
        <f>'Прилож №7'!I740+'Прилож №7'!I57</f>
        <v>0</v>
      </c>
      <c r="I98" s="53">
        <f>'Прилож №7'!J740+'Прилож №7'!J57</f>
        <v>3073.9</v>
      </c>
      <c r="J98" s="53">
        <f>'Прилож №7'!K740+'Прилож №7'!K57</f>
        <v>0</v>
      </c>
      <c r="K98" s="83"/>
    </row>
    <row r="99" spans="1:11" ht="14.25">
      <c r="A99" s="2" t="s">
        <v>442</v>
      </c>
      <c r="B99" s="4" t="s">
        <v>259</v>
      </c>
      <c r="C99" s="4" t="s">
        <v>326</v>
      </c>
      <c r="D99" s="4" t="s">
        <v>270</v>
      </c>
      <c r="E99" s="4" t="s">
        <v>441</v>
      </c>
      <c r="F99" s="6" t="s">
        <v>294</v>
      </c>
      <c r="G99" s="53">
        <f>'Прилож №7'!H58</f>
        <v>382</v>
      </c>
      <c r="H99" s="53">
        <f>'Прилож №7'!I58</f>
        <v>0</v>
      </c>
      <c r="I99" s="53">
        <f>'Прилож №7'!J58</f>
        <v>381.1</v>
      </c>
      <c r="J99" s="53">
        <f>'Прилож №7'!K58</f>
        <v>0</v>
      </c>
      <c r="K99" s="83"/>
    </row>
    <row r="100" spans="1:11" ht="14.25">
      <c r="A100" s="2" t="s">
        <v>157</v>
      </c>
      <c r="B100" s="4" t="s">
        <v>259</v>
      </c>
      <c r="C100" s="4" t="s">
        <v>326</v>
      </c>
      <c r="D100" s="4" t="s">
        <v>353</v>
      </c>
      <c r="E100" s="4"/>
      <c r="F100" s="6"/>
      <c r="G100" s="53">
        <f>G101</f>
        <v>1000</v>
      </c>
      <c r="H100" s="53">
        <f>H101</f>
        <v>0</v>
      </c>
      <c r="I100" s="53">
        <f>I101</f>
        <v>1000</v>
      </c>
      <c r="J100" s="53">
        <f>J101</f>
        <v>0</v>
      </c>
      <c r="K100" s="83"/>
    </row>
    <row r="101" spans="1:11" ht="42.75">
      <c r="A101" s="2" t="s">
        <v>429</v>
      </c>
      <c r="B101" s="4" t="s">
        <v>259</v>
      </c>
      <c r="C101" s="4" t="s">
        <v>326</v>
      </c>
      <c r="D101" s="4" t="s">
        <v>353</v>
      </c>
      <c r="E101" s="4" t="s">
        <v>402</v>
      </c>
      <c r="F101" s="6"/>
      <c r="G101" s="53">
        <f>'Прилож №7'!H60</f>
        <v>1000</v>
      </c>
      <c r="H101" s="53">
        <f>'Прилож №7'!I60</f>
        <v>0</v>
      </c>
      <c r="I101" s="53">
        <f>'Прилож №7'!J60</f>
        <v>1000</v>
      </c>
      <c r="J101" s="53">
        <f>'Прилож №7'!K60</f>
        <v>0</v>
      </c>
      <c r="K101" s="83"/>
    </row>
    <row r="102" spans="1:11" ht="14.25">
      <c r="A102" s="2" t="s">
        <v>530</v>
      </c>
      <c r="B102" s="4" t="s">
        <v>259</v>
      </c>
      <c r="C102" s="4" t="s">
        <v>326</v>
      </c>
      <c r="D102" s="4" t="s">
        <v>71</v>
      </c>
      <c r="E102" s="6"/>
      <c r="F102" s="6"/>
      <c r="G102" s="53">
        <f>G103</f>
        <v>5809.599999999999</v>
      </c>
      <c r="H102" s="53">
        <f>H103</f>
        <v>5809.599999999999</v>
      </c>
      <c r="I102" s="53">
        <f>I103</f>
        <v>5809.599999999999</v>
      </c>
      <c r="J102" s="53">
        <f>J103</f>
        <v>5809.599999999999</v>
      </c>
      <c r="K102" s="83"/>
    </row>
    <row r="103" spans="1:11" ht="71.25">
      <c r="A103" s="2" t="s">
        <v>123</v>
      </c>
      <c r="B103" s="4" t="s">
        <v>259</v>
      </c>
      <c r="C103" s="4" t="s">
        <v>326</v>
      </c>
      <c r="D103" s="4" t="s">
        <v>71</v>
      </c>
      <c r="E103" s="6" t="s">
        <v>526</v>
      </c>
      <c r="F103" s="6" t="s">
        <v>526</v>
      </c>
      <c r="G103" s="53">
        <f>G104+G106</f>
        <v>5809.599999999999</v>
      </c>
      <c r="H103" s="53">
        <f>H104+H106</f>
        <v>5809.599999999999</v>
      </c>
      <c r="I103" s="53">
        <f>I104+I106</f>
        <v>5809.599999999999</v>
      </c>
      <c r="J103" s="53">
        <f>J104+J106</f>
        <v>5809.599999999999</v>
      </c>
      <c r="K103" s="83"/>
    </row>
    <row r="104" spans="1:11" ht="14.25">
      <c r="A104" s="2" t="s">
        <v>599</v>
      </c>
      <c r="B104" s="4" t="s">
        <v>259</v>
      </c>
      <c r="C104" s="4" t="s">
        <v>326</v>
      </c>
      <c r="D104" s="4" t="s">
        <v>76</v>
      </c>
      <c r="E104" s="6"/>
      <c r="F104" s="6"/>
      <c r="G104" s="53">
        <f>G105</f>
        <v>5021.9</v>
      </c>
      <c r="H104" s="53">
        <f>H105</f>
        <v>5021.9</v>
      </c>
      <c r="I104" s="53">
        <f>I105</f>
        <v>5021.9</v>
      </c>
      <c r="J104" s="53">
        <f>J105</f>
        <v>5021.9</v>
      </c>
      <c r="K104" s="83"/>
    </row>
    <row r="105" spans="1:11" ht="42.75">
      <c r="A105" s="2" t="s">
        <v>129</v>
      </c>
      <c r="B105" s="4" t="s">
        <v>259</v>
      </c>
      <c r="C105" s="4" t="s">
        <v>326</v>
      </c>
      <c r="D105" s="4" t="s">
        <v>76</v>
      </c>
      <c r="E105" s="6" t="s">
        <v>424</v>
      </c>
      <c r="F105" s="6" t="s">
        <v>424</v>
      </c>
      <c r="G105" s="53">
        <f>'Прилож №7'!H64</f>
        <v>5021.9</v>
      </c>
      <c r="H105" s="53">
        <f>'Прилож №7'!I64</f>
        <v>5021.9</v>
      </c>
      <c r="I105" s="53">
        <f>'Прилож №7'!J64</f>
        <v>5021.9</v>
      </c>
      <c r="J105" s="53">
        <f>'Прилож №7'!K64</f>
        <v>5021.9</v>
      </c>
      <c r="K105" s="83"/>
    </row>
    <row r="106" spans="1:11" ht="28.5">
      <c r="A106" s="7" t="s">
        <v>432</v>
      </c>
      <c r="B106" s="4" t="s">
        <v>259</v>
      </c>
      <c r="C106" s="4" t="s">
        <v>326</v>
      </c>
      <c r="D106" s="4" t="s">
        <v>75</v>
      </c>
      <c r="E106" s="6"/>
      <c r="F106" s="6"/>
      <c r="G106" s="53">
        <f>G107</f>
        <v>787.7</v>
      </c>
      <c r="H106" s="53">
        <f>H107</f>
        <v>787.7</v>
      </c>
      <c r="I106" s="53">
        <f>I107</f>
        <v>787.7</v>
      </c>
      <c r="J106" s="53">
        <f>J107</f>
        <v>787.7</v>
      </c>
      <c r="K106" s="83"/>
    </row>
    <row r="107" spans="1:11" ht="28.5">
      <c r="A107" s="7" t="s">
        <v>78</v>
      </c>
      <c r="B107" s="4" t="s">
        <v>259</v>
      </c>
      <c r="C107" s="4" t="s">
        <v>326</v>
      </c>
      <c r="D107" s="4" t="s">
        <v>75</v>
      </c>
      <c r="E107" s="6" t="s">
        <v>421</v>
      </c>
      <c r="F107" s="6" t="s">
        <v>421</v>
      </c>
      <c r="G107" s="53">
        <f>'Прилож №7'!H66</f>
        <v>787.7</v>
      </c>
      <c r="H107" s="53">
        <f>'Прилож №7'!I66</f>
        <v>787.7</v>
      </c>
      <c r="I107" s="53">
        <f>'Прилож №7'!J66</f>
        <v>787.7</v>
      </c>
      <c r="J107" s="53">
        <f>'Прилож №7'!K66</f>
        <v>787.7</v>
      </c>
      <c r="K107" s="83"/>
    </row>
    <row r="108" spans="1:11" ht="14.25">
      <c r="A108" s="8" t="s">
        <v>223</v>
      </c>
      <c r="B108" s="4" t="s">
        <v>259</v>
      </c>
      <c r="C108" s="4" t="s">
        <v>326</v>
      </c>
      <c r="D108" s="4" t="s">
        <v>224</v>
      </c>
      <c r="E108" s="4"/>
      <c r="F108" s="6"/>
      <c r="G108" s="53">
        <f>G109+G115</f>
        <v>44290.399999999994</v>
      </c>
      <c r="H108" s="53">
        <f>H109+H115</f>
        <v>0</v>
      </c>
      <c r="I108" s="53">
        <f>I109+I115</f>
        <v>40593.9</v>
      </c>
      <c r="J108" s="53">
        <f>J109+J115</f>
        <v>0</v>
      </c>
      <c r="K108" s="83"/>
    </row>
    <row r="109" spans="1:11" ht="42.75">
      <c r="A109" s="2" t="s">
        <v>345</v>
      </c>
      <c r="B109" s="4" t="s">
        <v>259</v>
      </c>
      <c r="C109" s="4" t="s">
        <v>326</v>
      </c>
      <c r="D109" s="4" t="s">
        <v>277</v>
      </c>
      <c r="E109" s="4"/>
      <c r="F109" s="6"/>
      <c r="G109" s="53">
        <f>G110+G112</f>
        <v>37378.899999999994</v>
      </c>
      <c r="H109" s="53">
        <f>H110+H112</f>
        <v>0</v>
      </c>
      <c r="I109" s="53">
        <f>I110+I112</f>
        <v>34040.1</v>
      </c>
      <c r="J109" s="53">
        <f>J110+J112</f>
        <v>0</v>
      </c>
      <c r="K109" s="83"/>
    </row>
    <row r="110" spans="1:11" ht="14.25">
      <c r="A110" s="2" t="s">
        <v>525</v>
      </c>
      <c r="B110" s="4" t="s">
        <v>259</v>
      </c>
      <c r="C110" s="4" t="s">
        <v>326</v>
      </c>
      <c r="D110" s="4" t="s">
        <v>277</v>
      </c>
      <c r="E110" s="4" t="s">
        <v>393</v>
      </c>
      <c r="F110" s="6"/>
      <c r="G110" s="53">
        <f>G111</f>
        <v>27386.699999999997</v>
      </c>
      <c r="H110" s="53">
        <f>H111</f>
        <v>0</v>
      </c>
      <c r="I110" s="53">
        <f>I111</f>
        <v>25082.2</v>
      </c>
      <c r="J110" s="53">
        <f>J111</f>
        <v>0</v>
      </c>
      <c r="K110" s="83"/>
    </row>
    <row r="111" spans="1:11" ht="14.25">
      <c r="A111" s="8" t="s">
        <v>417</v>
      </c>
      <c r="B111" s="4" t="s">
        <v>259</v>
      </c>
      <c r="C111" s="4" t="s">
        <v>326</v>
      </c>
      <c r="D111" s="4" t="s">
        <v>277</v>
      </c>
      <c r="E111" s="4" t="s">
        <v>416</v>
      </c>
      <c r="F111" s="6"/>
      <c r="G111" s="53">
        <f>'Прилож №7'!H70+'Прилож №7'!H663+'Прилож №7'!H682+'Прилож №7'!H713+'Прилож №7'!H743+'Прилож №7'!H820</f>
        <v>27386.699999999997</v>
      </c>
      <c r="H111" s="53">
        <f>'Прилож №7'!I70+'Прилож №7'!I663+'Прилож №7'!I682+'Прилож №7'!I713+'Прилож №7'!I743+'Прилож №7'!I820</f>
        <v>0</v>
      </c>
      <c r="I111" s="53">
        <f>'Прилож №7'!J70+'Прилож №7'!J663+'Прилож №7'!J682+'Прилож №7'!J713+'Прилож №7'!J743+'Прилож №7'!J820</f>
        <v>25082.2</v>
      </c>
      <c r="J111" s="53">
        <f>'Прилож №7'!K70+'Прилож №7'!K663+'Прилож №7'!K682+'Прилож №7'!K713+'Прилож №7'!K743+'Прилож №7'!K820</f>
        <v>0</v>
      </c>
      <c r="K111" s="83"/>
    </row>
    <row r="112" spans="1:11" ht="14.25">
      <c r="A112" s="8" t="s">
        <v>599</v>
      </c>
      <c r="B112" s="4" t="s">
        <v>259</v>
      </c>
      <c r="C112" s="4" t="s">
        <v>326</v>
      </c>
      <c r="D112" s="4" t="s">
        <v>277</v>
      </c>
      <c r="E112" s="4" t="s">
        <v>526</v>
      </c>
      <c r="F112" s="6"/>
      <c r="G112" s="53">
        <f>G113+G114</f>
        <v>9992.2</v>
      </c>
      <c r="H112" s="53">
        <f>H113+H114</f>
        <v>0</v>
      </c>
      <c r="I112" s="53">
        <f>I113+I114</f>
        <v>8957.9</v>
      </c>
      <c r="J112" s="53">
        <f>J113+J114</f>
        <v>0</v>
      </c>
      <c r="K112" s="83"/>
    </row>
    <row r="113" spans="1:11" ht="28.5">
      <c r="A113" s="2" t="s">
        <v>440</v>
      </c>
      <c r="B113" s="4" t="s">
        <v>259</v>
      </c>
      <c r="C113" s="4" t="s">
        <v>326</v>
      </c>
      <c r="D113" s="4" t="s">
        <v>277</v>
      </c>
      <c r="E113" s="4" t="s">
        <v>437</v>
      </c>
      <c r="F113" s="6"/>
      <c r="G113" s="53">
        <f>'Прилож №7'!H715+'Прилож №7'!H72+'Прилож №7'!H665+'Прилож №7'!H684+'Прилож №7'!H744+'Прилож №7'!H821</f>
        <v>6588.5</v>
      </c>
      <c r="H113" s="53">
        <f>'Прилож №7'!I715+'Прилож №7'!I72+'Прилож №7'!I665+'Прилож №7'!I684+'Прилож №7'!I744+'Прилож №7'!I821</f>
        <v>0</v>
      </c>
      <c r="I113" s="53">
        <f>'Прилож №7'!J715+'Прилож №7'!J72+'Прилож №7'!J665+'Прилож №7'!J684+'Прилож №7'!J744+'Прилож №7'!J821</f>
        <v>5787.9</v>
      </c>
      <c r="J113" s="53">
        <f>'Прилож №7'!K715+'Прилож №7'!K72+'Прилож №7'!K665+'Прилож №7'!K684+'Прилож №7'!K744+'Прилож №7'!K821</f>
        <v>0</v>
      </c>
      <c r="K113" s="83"/>
    </row>
    <row r="114" spans="1:11" ht="28.5">
      <c r="A114" s="2" t="s">
        <v>431</v>
      </c>
      <c r="B114" s="4" t="s">
        <v>259</v>
      </c>
      <c r="C114" s="4" t="s">
        <v>326</v>
      </c>
      <c r="D114" s="4" t="s">
        <v>277</v>
      </c>
      <c r="E114" s="4" t="s">
        <v>421</v>
      </c>
      <c r="F114" s="6" t="s">
        <v>294</v>
      </c>
      <c r="G114" s="53">
        <f>'Прилож №7'!H822+'Прилож №7'!H745+'Прилож №7'!H716+'Прилож №7'!H685+'Прилож №7'!H666+'Прилож №7'!H73</f>
        <v>3403.7</v>
      </c>
      <c r="H114" s="53">
        <f>'Прилож №7'!I822+'Прилож №7'!I745+'Прилож №7'!I716+'Прилож №7'!I685+'Прилож №7'!I666+'Прилож №7'!I73</f>
        <v>0</v>
      </c>
      <c r="I114" s="53">
        <f>'Прилож №7'!J822+'Прилож №7'!J745+'Прилож №7'!J716+'Прилож №7'!J685+'Прилож №7'!J666+'Прилож №7'!J73</f>
        <v>3170</v>
      </c>
      <c r="J114" s="53">
        <f>'Прилож №7'!K822+'Прилож №7'!K745+'Прилож №7'!K716+'Прилож №7'!K685+'Прилож №7'!K666+'Прилож №7'!K73</f>
        <v>0</v>
      </c>
      <c r="K114" s="83"/>
    </row>
    <row r="115" spans="1:11" ht="85.5">
      <c r="A115" s="1" t="s">
        <v>454</v>
      </c>
      <c r="B115" s="4" t="s">
        <v>259</v>
      </c>
      <c r="C115" s="4" t="s">
        <v>326</v>
      </c>
      <c r="D115" s="4" t="s">
        <v>346</v>
      </c>
      <c r="E115" s="4"/>
      <c r="F115" s="6"/>
      <c r="G115" s="53">
        <f>G116+G117+G119+G118</f>
        <v>6911.500000000001</v>
      </c>
      <c r="H115" s="53">
        <f>H116+H117+H119+H118</f>
        <v>0</v>
      </c>
      <c r="I115" s="53">
        <f>I116+I117+I119+I118</f>
        <v>6553.8</v>
      </c>
      <c r="J115" s="53">
        <f>J116+J117+J119+J118</f>
        <v>0</v>
      </c>
      <c r="K115" s="83"/>
    </row>
    <row r="116" spans="1:11" ht="28.5">
      <c r="A116" s="2" t="s">
        <v>431</v>
      </c>
      <c r="B116" s="4" t="s">
        <v>259</v>
      </c>
      <c r="C116" s="4" t="s">
        <v>326</v>
      </c>
      <c r="D116" s="4" t="s">
        <v>346</v>
      </c>
      <c r="E116" s="4" t="s">
        <v>421</v>
      </c>
      <c r="F116" s="6"/>
      <c r="G116" s="53">
        <f>'Прилож №7'!H687+'Прилож №7'!H75</f>
        <v>6123.6</v>
      </c>
      <c r="H116" s="53">
        <f>'Прилож №7'!I687+'Прилож №7'!I75</f>
        <v>0</v>
      </c>
      <c r="I116" s="53">
        <f>'Прилож №7'!J687+'Прилож №7'!J75</f>
        <v>5777.5</v>
      </c>
      <c r="J116" s="53">
        <f>'Прилож №7'!K687+'Прилож №7'!K75</f>
        <v>0</v>
      </c>
      <c r="K116" s="83"/>
    </row>
    <row r="117" spans="1:11" ht="14.25">
      <c r="A117" s="2" t="s">
        <v>86</v>
      </c>
      <c r="B117" s="4" t="s">
        <v>259</v>
      </c>
      <c r="C117" s="4" t="s">
        <v>326</v>
      </c>
      <c r="D117" s="4" t="s">
        <v>346</v>
      </c>
      <c r="E117" s="4" t="s">
        <v>85</v>
      </c>
      <c r="F117" s="6"/>
      <c r="G117" s="53">
        <f>'Прилож №7'!H76</f>
        <v>365.3</v>
      </c>
      <c r="H117" s="53">
        <f>'Прилож №7'!I76</f>
        <v>0</v>
      </c>
      <c r="I117" s="53">
        <f>'Прилож №7'!J76</f>
        <v>365.3</v>
      </c>
      <c r="J117" s="53">
        <f>'Прилож №7'!K76</f>
        <v>0</v>
      </c>
      <c r="K117" s="83"/>
    </row>
    <row r="118" spans="1:11" ht="14.25">
      <c r="A118" s="7" t="s">
        <v>399</v>
      </c>
      <c r="B118" s="4" t="s">
        <v>259</v>
      </c>
      <c r="C118" s="4" t="s">
        <v>326</v>
      </c>
      <c r="D118" s="4" t="s">
        <v>346</v>
      </c>
      <c r="E118" s="4" t="s">
        <v>398</v>
      </c>
      <c r="F118" s="6"/>
      <c r="G118" s="53">
        <f>'Прилож №7'!H77</f>
        <v>160</v>
      </c>
      <c r="H118" s="53">
        <f>'Прилож №7'!I77</f>
        <v>0</v>
      </c>
      <c r="I118" s="53">
        <f>'Прилож №7'!J77</f>
        <v>160</v>
      </c>
      <c r="J118" s="53">
        <f>'Прилож №7'!K77</f>
        <v>0</v>
      </c>
      <c r="K118" s="83"/>
    </row>
    <row r="119" spans="1:11" ht="14.25">
      <c r="A119" s="2" t="s">
        <v>426</v>
      </c>
      <c r="B119" s="4" t="s">
        <v>259</v>
      </c>
      <c r="C119" s="4" t="s">
        <v>326</v>
      </c>
      <c r="D119" s="4" t="s">
        <v>346</v>
      </c>
      <c r="E119" s="4" t="s">
        <v>425</v>
      </c>
      <c r="F119" s="6"/>
      <c r="G119" s="53">
        <f>'Прилож №7'!H78+'Прилож №7'!H668</f>
        <v>262.6</v>
      </c>
      <c r="H119" s="53">
        <f>'Прилож №7'!I78+'Прилож №7'!I668</f>
        <v>0</v>
      </c>
      <c r="I119" s="53">
        <f>'Прилож №7'!J78+'Прилож №7'!J668</f>
        <v>251</v>
      </c>
      <c r="J119" s="53">
        <f>'Прилож №7'!K78+'Прилож №7'!K668</f>
        <v>0</v>
      </c>
      <c r="K119" s="83"/>
    </row>
    <row r="120" spans="1:11" ht="15">
      <c r="A120" s="11" t="s">
        <v>191</v>
      </c>
      <c r="B120" s="3" t="s">
        <v>260</v>
      </c>
      <c r="C120" s="3"/>
      <c r="D120" s="3"/>
      <c r="E120" s="3"/>
      <c r="F120" s="3"/>
      <c r="G120" s="48">
        <f>G129+G121</f>
        <v>5136</v>
      </c>
      <c r="H120" s="48">
        <f>H129+H121</f>
        <v>4948</v>
      </c>
      <c r="I120" s="48">
        <f>I129+I121</f>
        <v>5056.099999999999</v>
      </c>
      <c r="J120" s="48">
        <f>J129+J121</f>
        <v>4944.7</v>
      </c>
      <c r="K120" s="63">
        <f>I120/G120*100</f>
        <v>98.44431464174454</v>
      </c>
    </row>
    <row r="121" spans="1:11" ht="15">
      <c r="A121" s="8" t="s">
        <v>400</v>
      </c>
      <c r="B121" s="4" t="s">
        <v>260</v>
      </c>
      <c r="C121" s="4" t="s">
        <v>264</v>
      </c>
      <c r="D121" s="4"/>
      <c r="E121" s="3"/>
      <c r="F121" s="3"/>
      <c r="G121" s="53">
        <f aca="true" t="shared" si="5" ref="G121:J124">G122</f>
        <v>4948</v>
      </c>
      <c r="H121" s="53">
        <f t="shared" si="5"/>
        <v>4948</v>
      </c>
      <c r="I121" s="53">
        <f t="shared" si="5"/>
        <v>4944.7</v>
      </c>
      <c r="J121" s="53">
        <f t="shared" si="5"/>
        <v>4944.7</v>
      </c>
      <c r="K121" s="83"/>
    </row>
    <row r="122" spans="1:11" ht="15">
      <c r="A122" s="2" t="s">
        <v>358</v>
      </c>
      <c r="B122" s="4" t="s">
        <v>260</v>
      </c>
      <c r="C122" s="4" t="s">
        <v>264</v>
      </c>
      <c r="D122" s="4" t="s">
        <v>359</v>
      </c>
      <c r="E122" s="3"/>
      <c r="F122" s="3"/>
      <c r="G122" s="53">
        <f t="shared" si="5"/>
        <v>4948</v>
      </c>
      <c r="H122" s="53">
        <f t="shared" si="5"/>
        <v>4948</v>
      </c>
      <c r="I122" s="53">
        <f t="shared" si="5"/>
        <v>4944.7</v>
      </c>
      <c r="J122" s="53">
        <f t="shared" si="5"/>
        <v>4944.7</v>
      </c>
      <c r="K122" s="83"/>
    </row>
    <row r="123" spans="1:11" ht="29.25">
      <c r="A123" s="2" t="s">
        <v>362</v>
      </c>
      <c r="B123" s="4" t="s">
        <v>260</v>
      </c>
      <c r="C123" s="4" t="s">
        <v>264</v>
      </c>
      <c r="D123" s="4" t="s">
        <v>361</v>
      </c>
      <c r="E123" s="3"/>
      <c r="F123" s="3"/>
      <c r="G123" s="53">
        <f>G124+G126</f>
        <v>4948</v>
      </c>
      <c r="H123" s="53">
        <f>H124+H126</f>
        <v>4948</v>
      </c>
      <c r="I123" s="53">
        <f>I124+I126</f>
        <v>4944.7</v>
      </c>
      <c r="J123" s="53">
        <f>J124+J126</f>
        <v>4944.7</v>
      </c>
      <c r="K123" s="83"/>
    </row>
    <row r="124" spans="1:11" ht="15">
      <c r="A124" s="2" t="s">
        <v>525</v>
      </c>
      <c r="B124" s="4" t="s">
        <v>260</v>
      </c>
      <c r="C124" s="4" t="s">
        <v>264</v>
      </c>
      <c r="D124" s="4" t="s">
        <v>361</v>
      </c>
      <c r="E124" s="4" t="s">
        <v>393</v>
      </c>
      <c r="F124" s="3"/>
      <c r="G124" s="53">
        <f t="shared" si="5"/>
        <v>4788.7</v>
      </c>
      <c r="H124" s="53">
        <f t="shared" si="5"/>
        <v>4788.7</v>
      </c>
      <c r="I124" s="53">
        <f t="shared" si="5"/>
        <v>4788.7</v>
      </c>
      <c r="J124" s="53">
        <f t="shared" si="5"/>
        <v>4788.7</v>
      </c>
      <c r="K124" s="83"/>
    </row>
    <row r="125" spans="1:11" ht="15">
      <c r="A125" s="8" t="s">
        <v>415</v>
      </c>
      <c r="B125" s="4" t="s">
        <v>260</v>
      </c>
      <c r="C125" s="4" t="s">
        <v>264</v>
      </c>
      <c r="D125" s="4" t="s">
        <v>361</v>
      </c>
      <c r="E125" s="4" t="s">
        <v>414</v>
      </c>
      <c r="F125" s="3"/>
      <c r="G125" s="53">
        <f>'Прилож №7'!H84</f>
        <v>4788.7</v>
      </c>
      <c r="H125" s="53">
        <f>'Прилож №7'!I84</f>
        <v>4788.7</v>
      </c>
      <c r="I125" s="53">
        <f>'Прилож №7'!J84</f>
        <v>4788.7</v>
      </c>
      <c r="J125" s="53">
        <f>'Прилож №7'!K84</f>
        <v>4788.7</v>
      </c>
      <c r="K125" s="83"/>
    </row>
    <row r="126" spans="1:11" ht="15">
      <c r="A126" s="8" t="s">
        <v>599</v>
      </c>
      <c r="B126" s="4" t="s">
        <v>260</v>
      </c>
      <c r="C126" s="4" t="s">
        <v>264</v>
      </c>
      <c r="D126" s="4" t="s">
        <v>361</v>
      </c>
      <c r="E126" s="4" t="s">
        <v>526</v>
      </c>
      <c r="F126" s="3"/>
      <c r="G126" s="53">
        <f>G127+G128</f>
        <v>159.29999999999998</v>
      </c>
      <c r="H126" s="53">
        <f>H127+H128</f>
        <v>159.29999999999998</v>
      </c>
      <c r="I126" s="53">
        <f>I127+I128</f>
        <v>156</v>
      </c>
      <c r="J126" s="53">
        <f>J127+J128</f>
        <v>156</v>
      </c>
      <c r="K126" s="83"/>
    </row>
    <row r="127" spans="1:11" ht="29.25">
      <c r="A127" s="2" t="s">
        <v>440</v>
      </c>
      <c r="B127" s="4" t="s">
        <v>260</v>
      </c>
      <c r="C127" s="4" t="s">
        <v>264</v>
      </c>
      <c r="D127" s="4" t="s">
        <v>361</v>
      </c>
      <c r="E127" s="4" t="s">
        <v>437</v>
      </c>
      <c r="F127" s="3"/>
      <c r="G127" s="53">
        <f>'Прилож №7'!H86</f>
        <v>54.1</v>
      </c>
      <c r="H127" s="53">
        <f>'Прилож №7'!I86</f>
        <v>54.1</v>
      </c>
      <c r="I127" s="53">
        <f>'Прилож №7'!J86</f>
        <v>50.8</v>
      </c>
      <c r="J127" s="53">
        <f>'Прилож №7'!K86</f>
        <v>50.8</v>
      </c>
      <c r="K127" s="83"/>
    </row>
    <row r="128" spans="1:11" ht="29.25">
      <c r="A128" s="2" t="s">
        <v>431</v>
      </c>
      <c r="B128" s="4" t="s">
        <v>260</v>
      </c>
      <c r="C128" s="4" t="s">
        <v>264</v>
      </c>
      <c r="D128" s="4" t="s">
        <v>361</v>
      </c>
      <c r="E128" s="4" t="s">
        <v>421</v>
      </c>
      <c r="F128" s="3"/>
      <c r="G128" s="53">
        <f>'Прилож №7'!H87</f>
        <v>105.19999999999997</v>
      </c>
      <c r="H128" s="53">
        <f>'Прилож №7'!I87</f>
        <v>105.19999999999997</v>
      </c>
      <c r="I128" s="53">
        <f>'Прилож №7'!J87</f>
        <v>105.2</v>
      </c>
      <c r="J128" s="53">
        <f>'Прилож №7'!K87</f>
        <v>105.2</v>
      </c>
      <c r="K128" s="83"/>
    </row>
    <row r="129" spans="1:11" ht="15">
      <c r="A129" s="11" t="s">
        <v>192</v>
      </c>
      <c r="B129" s="3" t="s">
        <v>260</v>
      </c>
      <c r="C129" s="3" t="s">
        <v>261</v>
      </c>
      <c r="D129" s="3"/>
      <c r="E129" s="3"/>
      <c r="F129" s="3"/>
      <c r="G129" s="48">
        <f>G130</f>
        <v>188</v>
      </c>
      <c r="H129" s="48">
        <f aca="true" t="shared" si="6" ref="H129:J130">H130</f>
        <v>0</v>
      </c>
      <c r="I129" s="48">
        <f t="shared" si="6"/>
        <v>111.4</v>
      </c>
      <c r="J129" s="48">
        <f t="shared" si="6"/>
        <v>0</v>
      </c>
      <c r="K129" s="83"/>
    </row>
    <row r="130" spans="1:11" ht="28.5">
      <c r="A130" s="2" t="s">
        <v>207</v>
      </c>
      <c r="B130" s="4" t="s">
        <v>260</v>
      </c>
      <c r="C130" s="4" t="s">
        <v>261</v>
      </c>
      <c r="D130" s="4" t="s">
        <v>193</v>
      </c>
      <c r="E130" s="4"/>
      <c r="F130" s="4"/>
      <c r="G130" s="53">
        <f>G131</f>
        <v>188</v>
      </c>
      <c r="H130" s="53">
        <f t="shared" si="6"/>
        <v>0</v>
      </c>
      <c r="I130" s="53">
        <f t="shared" si="6"/>
        <v>111.4</v>
      </c>
      <c r="J130" s="53">
        <f t="shared" si="6"/>
        <v>0</v>
      </c>
      <c r="K130" s="83"/>
    </row>
    <row r="131" spans="1:11" ht="28.5">
      <c r="A131" s="2" t="s">
        <v>211</v>
      </c>
      <c r="B131" s="4" t="s">
        <v>260</v>
      </c>
      <c r="C131" s="4" t="s">
        <v>261</v>
      </c>
      <c r="D131" s="4" t="s">
        <v>246</v>
      </c>
      <c r="E131" s="4"/>
      <c r="F131" s="4"/>
      <c r="G131" s="53">
        <f>G133+G132</f>
        <v>188</v>
      </c>
      <c r="H131" s="53">
        <f>H133+H132</f>
        <v>0</v>
      </c>
      <c r="I131" s="53">
        <f>I133+I132</f>
        <v>111.4</v>
      </c>
      <c r="J131" s="53">
        <f>J133+J132</f>
        <v>0</v>
      </c>
      <c r="K131" s="83"/>
    </row>
    <row r="132" spans="1:11" ht="28.5">
      <c r="A132" s="2" t="s">
        <v>440</v>
      </c>
      <c r="B132" s="4" t="s">
        <v>260</v>
      </c>
      <c r="C132" s="4" t="s">
        <v>261</v>
      </c>
      <c r="D132" s="4" t="s">
        <v>246</v>
      </c>
      <c r="E132" s="4" t="s">
        <v>437</v>
      </c>
      <c r="F132" s="4"/>
      <c r="G132" s="53">
        <f>'Прилож №7'!H92</f>
        <v>19.9</v>
      </c>
      <c r="H132" s="53">
        <f>'Прилож №7'!I92</f>
        <v>0</v>
      </c>
      <c r="I132" s="53">
        <f>'Прилож №7'!J92</f>
        <v>19.9</v>
      </c>
      <c r="J132" s="53">
        <f>'Прилож №7'!K92</f>
        <v>0</v>
      </c>
      <c r="K132" s="83"/>
    </row>
    <row r="133" spans="1:11" ht="28.5">
      <c r="A133" s="2" t="s">
        <v>431</v>
      </c>
      <c r="B133" s="4" t="s">
        <v>260</v>
      </c>
      <c r="C133" s="4" t="s">
        <v>261</v>
      </c>
      <c r="D133" s="4" t="s">
        <v>246</v>
      </c>
      <c r="E133" s="4" t="s">
        <v>421</v>
      </c>
      <c r="F133" s="4"/>
      <c r="G133" s="53">
        <f>'Прилож №7'!H93</f>
        <v>168.1</v>
      </c>
      <c r="H133" s="53">
        <f>'Прилож №7'!I93</f>
        <v>0</v>
      </c>
      <c r="I133" s="53">
        <f>'Прилож №7'!J93</f>
        <v>91.5</v>
      </c>
      <c r="J133" s="53">
        <f>'Прилож №7'!K93</f>
        <v>0</v>
      </c>
      <c r="K133" s="83"/>
    </row>
    <row r="134" spans="1:11" s="20" customFormat="1" ht="43.5">
      <c r="A134" s="47" t="s">
        <v>217</v>
      </c>
      <c r="B134" s="46" t="s">
        <v>264</v>
      </c>
      <c r="C134" s="46"/>
      <c r="D134" s="46"/>
      <c r="E134" s="3"/>
      <c r="F134" s="68" t="s">
        <v>143</v>
      </c>
      <c r="G134" s="62">
        <f>G135+G146</f>
        <v>16221.599999999999</v>
      </c>
      <c r="H134" s="62">
        <f>H135+H146</f>
        <v>0</v>
      </c>
      <c r="I134" s="62">
        <f>I135+I146</f>
        <v>13289.800000000001</v>
      </c>
      <c r="J134" s="62">
        <f>J135+J146</f>
        <v>0</v>
      </c>
      <c r="K134" s="63">
        <f>I134/G134*100</f>
        <v>81.92656704640727</v>
      </c>
    </row>
    <row r="135" spans="1:11" s="20" customFormat="1" ht="29.25">
      <c r="A135" s="2" t="s">
        <v>247</v>
      </c>
      <c r="B135" s="68" t="s">
        <v>264</v>
      </c>
      <c r="C135" s="68" t="s">
        <v>265</v>
      </c>
      <c r="D135" s="46"/>
      <c r="E135" s="3"/>
      <c r="F135" s="68"/>
      <c r="G135" s="62">
        <f>G136+G139</f>
        <v>12661.8</v>
      </c>
      <c r="H135" s="62">
        <f>H136+H139</f>
        <v>0</v>
      </c>
      <c r="I135" s="62">
        <f>I136+I139</f>
        <v>9822.400000000001</v>
      </c>
      <c r="J135" s="62">
        <f>J136+J139</f>
        <v>0</v>
      </c>
      <c r="K135" s="80"/>
    </row>
    <row r="136" spans="1:11" s="20" customFormat="1" ht="28.5">
      <c r="A136" s="2" t="s">
        <v>238</v>
      </c>
      <c r="B136" s="4" t="s">
        <v>264</v>
      </c>
      <c r="C136" s="4" t="s">
        <v>265</v>
      </c>
      <c r="D136" s="4" t="s">
        <v>239</v>
      </c>
      <c r="E136" s="4"/>
      <c r="F136" s="4"/>
      <c r="G136" s="53">
        <f>G137</f>
        <v>5987.2</v>
      </c>
      <c r="H136" s="53">
        <f aca="true" t="shared" si="7" ref="H136:J137">H137</f>
        <v>0</v>
      </c>
      <c r="I136" s="53">
        <f t="shared" si="7"/>
        <v>3156.5</v>
      </c>
      <c r="J136" s="53">
        <f t="shared" si="7"/>
        <v>0</v>
      </c>
      <c r="K136" s="80"/>
    </row>
    <row r="137" spans="1:11" s="20" customFormat="1" ht="42.75">
      <c r="A137" s="2" t="s">
        <v>240</v>
      </c>
      <c r="B137" s="4" t="s">
        <v>264</v>
      </c>
      <c r="C137" s="4" t="s">
        <v>265</v>
      </c>
      <c r="D137" s="4" t="s">
        <v>248</v>
      </c>
      <c r="E137" s="4"/>
      <c r="F137" s="4"/>
      <c r="G137" s="53">
        <f>G138</f>
        <v>5987.2</v>
      </c>
      <c r="H137" s="53">
        <f t="shared" si="7"/>
        <v>0</v>
      </c>
      <c r="I137" s="53">
        <f t="shared" si="7"/>
        <v>3156.5</v>
      </c>
      <c r="J137" s="53">
        <f t="shared" si="7"/>
        <v>0</v>
      </c>
      <c r="K137" s="80"/>
    </row>
    <row r="138" spans="1:11" s="20" customFormat="1" ht="28.5">
      <c r="A138" s="2" t="s">
        <v>431</v>
      </c>
      <c r="B138" s="4" t="s">
        <v>264</v>
      </c>
      <c r="C138" s="4" t="s">
        <v>265</v>
      </c>
      <c r="D138" s="4" t="s">
        <v>248</v>
      </c>
      <c r="E138" s="4" t="s">
        <v>421</v>
      </c>
      <c r="F138" s="4"/>
      <c r="G138" s="53">
        <f>'Прилож №7'!H98</f>
        <v>5987.2</v>
      </c>
      <c r="H138" s="53">
        <f>'Прилож №7'!I98</f>
        <v>0</v>
      </c>
      <c r="I138" s="53">
        <f>'Прилож №7'!J98</f>
        <v>3156.5</v>
      </c>
      <c r="J138" s="53">
        <f>'Прилож №7'!K98</f>
        <v>0</v>
      </c>
      <c r="K138" s="80"/>
    </row>
    <row r="139" spans="1:11" s="20" customFormat="1" ht="14.25">
      <c r="A139" s="51" t="s">
        <v>455</v>
      </c>
      <c r="B139" s="4" t="s">
        <v>264</v>
      </c>
      <c r="C139" s="4" t="s">
        <v>265</v>
      </c>
      <c r="D139" s="52" t="s">
        <v>444</v>
      </c>
      <c r="E139" s="6"/>
      <c r="F139" s="6"/>
      <c r="G139" s="101">
        <f>G140</f>
        <v>6674.599999999999</v>
      </c>
      <c r="H139" s="101">
        <f>H140</f>
        <v>0</v>
      </c>
      <c r="I139" s="101">
        <f>I140</f>
        <v>6665.900000000001</v>
      </c>
      <c r="J139" s="101">
        <f>J140</f>
        <v>0</v>
      </c>
      <c r="K139" s="80"/>
    </row>
    <row r="140" spans="1:11" s="20" customFormat="1" ht="14.25">
      <c r="A140" s="8" t="s">
        <v>157</v>
      </c>
      <c r="B140" s="4" t="s">
        <v>264</v>
      </c>
      <c r="C140" s="4" t="s">
        <v>265</v>
      </c>
      <c r="D140" s="52" t="s">
        <v>445</v>
      </c>
      <c r="E140" s="6"/>
      <c r="F140" s="6"/>
      <c r="G140" s="101">
        <f>G141+G143</f>
        <v>6674.599999999999</v>
      </c>
      <c r="H140" s="101">
        <f>H141+H143</f>
        <v>0</v>
      </c>
      <c r="I140" s="101">
        <f>I141+I143</f>
        <v>6665.900000000001</v>
      </c>
      <c r="J140" s="101">
        <f>J141+J143</f>
        <v>0</v>
      </c>
      <c r="K140" s="80"/>
    </row>
    <row r="141" spans="1:11" s="20" customFormat="1" ht="14.25">
      <c r="A141" s="8" t="s">
        <v>555</v>
      </c>
      <c r="B141" s="4" t="s">
        <v>264</v>
      </c>
      <c r="C141" s="4" t="s">
        <v>265</v>
      </c>
      <c r="D141" s="52" t="s">
        <v>445</v>
      </c>
      <c r="E141" s="6" t="s">
        <v>534</v>
      </c>
      <c r="F141" s="6" t="s">
        <v>534</v>
      </c>
      <c r="G141" s="101">
        <f>G142</f>
        <v>5734.7</v>
      </c>
      <c r="H141" s="101">
        <f>H142</f>
        <v>0</v>
      </c>
      <c r="I141" s="101">
        <f>I142</f>
        <v>5734.6</v>
      </c>
      <c r="J141" s="101">
        <f>J142</f>
        <v>0</v>
      </c>
      <c r="K141" s="80"/>
    </row>
    <row r="142" spans="1:11" s="20" customFormat="1" ht="14.25">
      <c r="A142" s="8" t="s">
        <v>415</v>
      </c>
      <c r="B142" s="4" t="s">
        <v>264</v>
      </c>
      <c r="C142" s="4" t="s">
        <v>265</v>
      </c>
      <c r="D142" s="52" t="s">
        <v>445</v>
      </c>
      <c r="E142" s="6" t="s">
        <v>443</v>
      </c>
      <c r="F142" s="6" t="s">
        <v>443</v>
      </c>
      <c r="G142" s="101">
        <f>'Прилож №7'!H102</f>
        <v>5734.7</v>
      </c>
      <c r="H142" s="101">
        <f>'Прилож №7'!I102</f>
        <v>0</v>
      </c>
      <c r="I142" s="101">
        <f>'Прилож №7'!J102</f>
        <v>5734.6</v>
      </c>
      <c r="J142" s="101">
        <f>'Прилож №7'!K102</f>
        <v>0</v>
      </c>
      <c r="K142" s="80"/>
    </row>
    <row r="143" spans="1:11" s="20" customFormat="1" ht="14.25">
      <c r="A143" s="8" t="s">
        <v>599</v>
      </c>
      <c r="B143" s="4" t="s">
        <v>264</v>
      </c>
      <c r="C143" s="4" t="s">
        <v>265</v>
      </c>
      <c r="D143" s="52" t="s">
        <v>445</v>
      </c>
      <c r="E143" s="6" t="s">
        <v>526</v>
      </c>
      <c r="F143" s="6" t="s">
        <v>526</v>
      </c>
      <c r="G143" s="101">
        <f>G144+G145</f>
        <v>939.9</v>
      </c>
      <c r="H143" s="101">
        <f>H144+H145</f>
        <v>0</v>
      </c>
      <c r="I143" s="101">
        <f>I144+I145</f>
        <v>931.3</v>
      </c>
      <c r="J143" s="101">
        <f>J144+J145</f>
        <v>0</v>
      </c>
      <c r="K143" s="80"/>
    </row>
    <row r="144" spans="1:11" s="20" customFormat="1" ht="28.5">
      <c r="A144" s="2" t="s">
        <v>440</v>
      </c>
      <c r="B144" s="4" t="s">
        <v>264</v>
      </c>
      <c r="C144" s="4" t="s">
        <v>265</v>
      </c>
      <c r="D144" s="52" t="s">
        <v>445</v>
      </c>
      <c r="E144" s="6" t="s">
        <v>437</v>
      </c>
      <c r="F144" s="6" t="s">
        <v>437</v>
      </c>
      <c r="G144" s="101">
        <f>'Прилож №7'!H104</f>
        <v>366.5</v>
      </c>
      <c r="H144" s="101">
        <f>'Прилож №7'!I104</f>
        <v>0</v>
      </c>
      <c r="I144" s="101">
        <f>'Прилож №7'!J104</f>
        <v>357.9</v>
      </c>
      <c r="J144" s="101">
        <f>'Прилож №7'!K104</f>
        <v>0</v>
      </c>
      <c r="K144" s="80"/>
    </row>
    <row r="145" spans="1:11" s="20" customFormat="1" ht="28.5">
      <c r="A145" s="2" t="s">
        <v>431</v>
      </c>
      <c r="B145" s="4" t="s">
        <v>264</v>
      </c>
      <c r="C145" s="4" t="s">
        <v>265</v>
      </c>
      <c r="D145" s="52" t="s">
        <v>445</v>
      </c>
      <c r="E145" s="6" t="s">
        <v>421</v>
      </c>
      <c r="F145" s="6" t="s">
        <v>421</v>
      </c>
      <c r="G145" s="101">
        <f>'Прилож №7'!H105</f>
        <v>573.4</v>
      </c>
      <c r="H145" s="101">
        <f>'Прилож №7'!I105</f>
        <v>0</v>
      </c>
      <c r="I145" s="101">
        <f>'Прилож №7'!J105</f>
        <v>573.4</v>
      </c>
      <c r="J145" s="101">
        <f>'Прилож №7'!K105</f>
        <v>0</v>
      </c>
      <c r="K145" s="80"/>
    </row>
    <row r="146" spans="1:11" ht="30">
      <c r="A146" s="47" t="s">
        <v>212</v>
      </c>
      <c r="B146" s="3" t="s">
        <v>264</v>
      </c>
      <c r="C146" s="3" t="s">
        <v>263</v>
      </c>
      <c r="D146" s="3"/>
      <c r="E146" s="3"/>
      <c r="F146" s="3"/>
      <c r="G146" s="48">
        <f>G148+G151</f>
        <v>3559.8</v>
      </c>
      <c r="H146" s="48">
        <f>H148+H151</f>
        <v>0</v>
      </c>
      <c r="I146" s="48">
        <f>I148+I151</f>
        <v>3467.3999999999996</v>
      </c>
      <c r="J146" s="48">
        <f>J148+J151</f>
        <v>0</v>
      </c>
      <c r="K146" s="63">
        <f>I146/G146*100</f>
        <v>97.4043485589078</v>
      </c>
    </row>
    <row r="147" spans="1:11" ht="14.25">
      <c r="A147" s="8" t="s">
        <v>223</v>
      </c>
      <c r="B147" s="4" t="s">
        <v>264</v>
      </c>
      <c r="C147" s="4" t="s">
        <v>263</v>
      </c>
      <c r="D147" s="4" t="s">
        <v>224</v>
      </c>
      <c r="E147" s="4"/>
      <c r="F147" s="4"/>
      <c r="G147" s="53">
        <f>G148+G151</f>
        <v>3559.8</v>
      </c>
      <c r="H147" s="53">
        <f>H148+H151</f>
        <v>0</v>
      </c>
      <c r="I147" s="53">
        <f>I148+I151</f>
        <v>3467.3999999999996</v>
      </c>
      <c r="J147" s="53">
        <f>J148+J151</f>
        <v>0</v>
      </c>
      <c r="K147" s="83"/>
    </row>
    <row r="148" spans="1:11" ht="42.75">
      <c r="A148" s="55" t="s">
        <v>366</v>
      </c>
      <c r="B148" s="4" t="s">
        <v>264</v>
      </c>
      <c r="C148" s="4" t="s">
        <v>263</v>
      </c>
      <c r="D148" s="4" t="s">
        <v>290</v>
      </c>
      <c r="E148" s="4"/>
      <c r="F148" s="4"/>
      <c r="G148" s="53">
        <f>G150+G149</f>
        <v>1146</v>
      </c>
      <c r="H148" s="53">
        <f>H150+H149</f>
        <v>0</v>
      </c>
      <c r="I148" s="53">
        <f>I150+I149</f>
        <v>1089.3</v>
      </c>
      <c r="J148" s="53">
        <f>J150+J149</f>
        <v>0</v>
      </c>
      <c r="K148" s="83"/>
    </row>
    <row r="149" spans="1:11" ht="28.5">
      <c r="A149" s="2" t="s">
        <v>440</v>
      </c>
      <c r="B149" s="4" t="s">
        <v>264</v>
      </c>
      <c r="C149" s="4" t="s">
        <v>263</v>
      </c>
      <c r="D149" s="4" t="s">
        <v>290</v>
      </c>
      <c r="E149" s="4" t="s">
        <v>437</v>
      </c>
      <c r="F149" s="4"/>
      <c r="G149" s="53">
        <f>'Прилож №7'!H109</f>
        <v>61.1</v>
      </c>
      <c r="H149" s="53">
        <f>'Прилож №7'!I109</f>
        <v>0</v>
      </c>
      <c r="I149" s="53">
        <f>'Прилож №7'!J109</f>
        <v>40.8</v>
      </c>
      <c r="J149" s="53">
        <f>'Прилож №7'!K109</f>
        <v>0</v>
      </c>
      <c r="K149" s="83"/>
    </row>
    <row r="150" spans="1:11" ht="28.5">
      <c r="A150" s="2" t="s">
        <v>431</v>
      </c>
      <c r="B150" s="4" t="s">
        <v>264</v>
      </c>
      <c r="C150" s="4" t="s">
        <v>263</v>
      </c>
      <c r="D150" s="4" t="s">
        <v>290</v>
      </c>
      <c r="E150" s="4" t="s">
        <v>421</v>
      </c>
      <c r="F150" s="4"/>
      <c r="G150" s="53">
        <f>'Прилож №7'!H110</f>
        <v>1084.9</v>
      </c>
      <c r="H150" s="53">
        <f>'Прилож №7'!I110</f>
        <v>0</v>
      </c>
      <c r="I150" s="53">
        <f>'Прилож №7'!J110</f>
        <v>1048.5</v>
      </c>
      <c r="J150" s="53">
        <f>'Прилож №7'!K110</f>
        <v>0</v>
      </c>
      <c r="K150" s="83"/>
    </row>
    <row r="151" spans="1:11" ht="42.75">
      <c r="A151" s="2" t="s">
        <v>373</v>
      </c>
      <c r="B151" s="4" t="s">
        <v>264</v>
      </c>
      <c r="C151" s="4" t="s">
        <v>263</v>
      </c>
      <c r="D151" s="4" t="s">
        <v>344</v>
      </c>
      <c r="E151" s="4"/>
      <c r="F151" s="4"/>
      <c r="G151" s="53">
        <f>G152+G153</f>
        <v>2413.8</v>
      </c>
      <c r="H151" s="53">
        <f>H152+H153</f>
        <v>0</v>
      </c>
      <c r="I151" s="53">
        <f>I152+I153</f>
        <v>2378.1</v>
      </c>
      <c r="J151" s="53">
        <f>J152+J153</f>
        <v>0</v>
      </c>
      <c r="K151" s="83"/>
    </row>
    <row r="152" spans="1:11" ht="28.5">
      <c r="A152" s="2" t="s">
        <v>431</v>
      </c>
      <c r="B152" s="4" t="s">
        <v>264</v>
      </c>
      <c r="C152" s="4" t="s">
        <v>263</v>
      </c>
      <c r="D152" s="4" t="s">
        <v>344</v>
      </c>
      <c r="E152" s="4" t="s">
        <v>421</v>
      </c>
      <c r="F152" s="4"/>
      <c r="G152" s="53">
        <f>'Прилож №7'!H112</f>
        <v>2373.8</v>
      </c>
      <c r="H152" s="53">
        <f>'Прилож №7'!I112</f>
        <v>0</v>
      </c>
      <c r="I152" s="53">
        <f>'Прилож №7'!J112</f>
        <v>2338.1</v>
      </c>
      <c r="J152" s="53">
        <f>'Прилож №7'!K112</f>
        <v>0</v>
      </c>
      <c r="K152" s="83"/>
    </row>
    <row r="153" spans="1:11" ht="14.25">
      <c r="A153" s="2" t="s">
        <v>577</v>
      </c>
      <c r="B153" s="4" t="s">
        <v>264</v>
      </c>
      <c r="C153" s="4" t="s">
        <v>263</v>
      </c>
      <c r="D153" s="4" t="s">
        <v>344</v>
      </c>
      <c r="E153" s="4" t="s">
        <v>576</v>
      </c>
      <c r="F153" s="4"/>
      <c r="G153" s="53">
        <f>G154</f>
        <v>40</v>
      </c>
      <c r="H153" s="53">
        <f>H154</f>
        <v>0</v>
      </c>
      <c r="I153" s="53">
        <f>I154</f>
        <v>40</v>
      </c>
      <c r="J153" s="53">
        <f>J154</f>
        <v>0</v>
      </c>
      <c r="K153" s="83"/>
    </row>
    <row r="154" spans="1:11" ht="14.25">
      <c r="A154" s="2" t="s">
        <v>86</v>
      </c>
      <c r="B154" s="4" t="s">
        <v>264</v>
      </c>
      <c r="C154" s="4" t="s">
        <v>263</v>
      </c>
      <c r="D154" s="4" t="s">
        <v>344</v>
      </c>
      <c r="E154" s="4" t="s">
        <v>85</v>
      </c>
      <c r="F154" s="4"/>
      <c r="G154" s="53">
        <f>'Прилож №7'!H114</f>
        <v>40</v>
      </c>
      <c r="H154" s="53">
        <f>'Прилож №7'!I114</f>
        <v>0</v>
      </c>
      <c r="I154" s="53">
        <f>'Прилож №7'!J114</f>
        <v>40</v>
      </c>
      <c r="J154" s="53">
        <f>'Прилож №7'!K114</f>
        <v>0</v>
      </c>
      <c r="K154" s="83"/>
    </row>
    <row r="155" spans="1:11" ht="15">
      <c r="A155" s="11" t="s">
        <v>180</v>
      </c>
      <c r="B155" s="3" t="s">
        <v>261</v>
      </c>
      <c r="C155" s="3"/>
      <c r="D155" s="3"/>
      <c r="E155" s="3"/>
      <c r="F155" s="4"/>
      <c r="G155" s="48">
        <f>G156+G161+G188+G171</f>
        <v>187135.39999999997</v>
      </c>
      <c r="H155" s="48">
        <f>H156+H161+H188+H171</f>
        <v>51725.4</v>
      </c>
      <c r="I155" s="48">
        <f>I156+I161+I188+I171</f>
        <v>183697.50000000003</v>
      </c>
      <c r="J155" s="48">
        <f>J156+J161+J188+J171</f>
        <v>50868</v>
      </c>
      <c r="K155" s="63">
        <f>I155/G155*100</f>
        <v>98.16288099418927</v>
      </c>
    </row>
    <row r="156" spans="1:11" s="49" customFormat="1" ht="15">
      <c r="A156" s="11" t="s">
        <v>202</v>
      </c>
      <c r="B156" s="3" t="s">
        <v>261</v>
      </c>
      <c r="C156" s="3" t="s">
        <v>268</v>
      </c>
      <c r="D156" s="3"/>
      <c r="E156" s="3"/>
      <c r="F156" s="3"/>
      <c r="G156" s="48">
        <f>G157</f>
        <v>13354</v>
      </c>
      <c r="H156" s="48">
        <f aca="true" t="shared" si="8" ref="H156:J159">H157</f>
        <v>0</v>
      </c>
      <c r="I156" s="48">
        <f t="shared" si="8"/>
        <v>13353.9</v>
      </c>
      <c r="J156" s="48">
        <f t="shared" si="8"/>
        <v>0</v>
      </c>
      <c r="K156" s="63">
        <f>I156/G156*100</f>
        <v>99.99925116070091</v>
      </c>
    </row>
    <row r="157" spans="1:11" ht="14.25">
      <c r="A157" s="8" t="s">
        <v>249</v>
      </c>
      <c r="B157" s="4" t="s">
        <v>261</v>
      </c>
      <c r="C157" s="4" t="s">
        <v>268</v>
      </c>
      <c r="D157" s="4" t="s">
        <v>250</v>
      </c>
      <c r="E157" s="4"/>
      <c r="F157" s="4"/>
      <c r="G157" s="53">
        <f>G158</f>
        <v>13354</v>
      </c>
      <c r="H157" s="53">
        <f t="shared" si="8"/>
        <v>0</v>
      </c>
      <c r="I157" s="53">
        <f t="shared" si="8"/>
        <v>13353.9</v>
      </c>
      <c r="J157" s="53">
        <f t="shared" si="8"/>
        <v>0</v>
      </c>
      <c r="K157" s="83"/>
    </row>
    <row r="158" spans="1:11" ht="14.25">
      <c r="A158" s="8" t="s">
        <v>251</v>
      </c>
      <c r="B158" s="4" t="s">
        <v>261</v>
      </c>
      <c r="C158" s="4" t="s">
        <v>268</v>
      </c>
      <c r="D158" s="4" t="s">
        <v>252</v>
      </c>
      <c r="E158" s="4"/>
      <c r="F158" s="4"/>
      <c r="G158" s="53">
        <f>G159</f>
        <v>13354</v>
      </c>
      <c r="H158" s="53">
        <f t="shared" si="8"/>
        <v>0</v>
      </c>
      <c r="I158" s="53">
        <f t="shared" si="8"/>
        <v>13353.9</v>
      </c>
      <c r="J158" s="53">
        <f t="shared" si="8"/>
        <v>0</v>
      </c>
      <c r="K158" s="83"/>
    </row>
    <row r="159" spans="1:11" ht="42.75">
      <c r="A159" s="2" t="s">
        <v>253</v>
      </c>
      <c r="B159" s="4" t="s">
        <v>261</v>
      </c>
      <c r="C159" s="4" t="s">
        <v>268</v>
      </c>
      <c r="D159" s="4" t="s">
        <v>254</v>
      </c>
      <c r="E159" s="4"/>
      <c r="F159" s="4"/>
      <c r="G159" s="53">
        <f>G160</f>
        <v>13354</v>
      </c>
      <c r="H159" s="53">
        <f t="shared" si="8"/>
        <v>0</v>
      </c>
      <c r="I159" s="53">
        <f t="shared" si="8"/>
        <v>13353.9</v>
      </c>
      <c r="J159" s="53">
        <f t="shared" si="8"/>
        <v>0</v>
      </c>
      <c r="K159" s="83"/>
    </row>
    <row r="160" spans="1:11" ht="28.5">
      <c r="A160" s="2" t="s">
        <v>431</v>
      </c>
      <c r="B160" s="4" t="s">
        <v>261</v>
      </c>
      <c r="C160" s="4" t="s">
        <v>268</v>
      </c>
      <c r="D160" s="4" t="s">
        <v>254</v>
      </c>
      <c r="E160" s="4" t="s">
        <v>421</v>
      </c>
      <c r="F160" s="4"/>
      <c r="G160" s="53">
        <f>'Прилож №7'!H120</f>
        <v>13354</v>
      </c>
      <c r="H160" s="53">
        <f>'Прилож №7'!I120</f>
        <v>0</v>
      </c>
      <c r="I160" s="53">
        <f>'Прилож №7'!J120</f>
        <v>13353.9</v>
      </c>
      <c r="J160" s="53">
        <f>'Прилож №7'!K120</f>
        <v>0</v>
      </c>
      <c r="K160" s="83"/>
    </row>
    <row r="161" spans="1:11" s="49" customFormat="1" ht="15">
      <c r="A161" s="11" t="str">
        <f>'Прилож №7'!A121</f>
        <v>Дорожное хозяйство (дорожные фонды)</v>
      </c>
      <c r="B161" s="3" t="s">
        <v>261</v>
      </c>
      <c r="C161" s="3" t="s">
        <v>265</v>
      </c>
      <c r="D161" s="3"/>
      <c r="E161" s="3"/>
      <c r="F161" s="3"/>
      <c r="G161" s="48">
        <f>G168+G162</f>
        <v>81106.3</v>
      </c>
      <c r="H161" s="48">
        <f>H168+H162</f>
        <v>39900</v>
      </c>
      <c r="I161" s="48">
        <f>I168+I162</f>
        <v>80622.8</v>
      </c>
      <c r="J161" s="48">
        <f>J168+J162</f>
        <v>39900</v>
      </c>
      <c r="K161" s="63">
        <f>I161/G161*100</f>
        <v>99.40386875002312</v>
      </c>
    </row>
    <row r="162" spans="1:11" s="49" customFormat="1" ht="15">
      <c r="A162" s="8" t="s">
        <v>530</v>
      </c>
      <c r="B162" s="4" t="s">
        <v>261</v>
      </c>
      <c r="C162" s="4" t="s">
        <v>265</v>
      </c>
      <c r="D162" s="4" t="s">
        <v>528</v>
      </c>
      <c r="E162" s="5"/>
      <c r="F162" s="5"/>
      <c r="G162" s="53">
        <f>G163</f>
        <v>39900</v>
      </c>
      <c r="H162" s="53">
        <f>H163</f>
        <v>39900</v>
      </c>
      <c r="I162" s="53">
        <f>I163</f>
        <v>39900</v>
      </c>
      <c r="J162" s="53">
        <f>J163</f>
        <v>39900</v>
      </c>
      <c r="K162" s="63"/>
    </row>
    <row r="163" spans="1:11" s="49" customFormat="1" ht="29.25">
      <c r="A163" s="2" t="s">
        <v>121</v>
      </c>
      <c r="B163" s="4" t="s">
        <v>261</v>
      </c>
      <c r="C163" s="4" t="s">
        <v>265</v>
      </c>
      <c r="D163" s="4" t="s">
        <v>119</v>
      </c>
      <c r="E163" s="6"/>
      <c r="F163" s="6"/>
      <c r="G163" s="53">
        <f>G166+G164</f>
        <v>39900</v>
      </c>
      <c r="H163" s="53">
        <f>H166+H164</f>
        <v>39900</v>
      </c>
      <c r="I163" s="53">
        <f>I166+I164</f>
        <v>39900</v>
      </c>
      <c r="J163" s="53">
        <f>J166+J164</f>
        <v>39900</v>
      </c>
      <c r="K163" s="63"/>
    </row>
    <row r="164" spans="1:11" s="49" customFormat="1" ht="43.5">
      <c r="A164" s="2" t="s">
        <v>133</v>
      </c>
      <c r="B164" s="4" t="s">
        <v>261</v>
      </c>
      <c r="C164" s="4" t="s">
        <v>265</v>
      </c>
      <c r="D164" s="4" t="s">
        <v>132</v>
      </c>
      <c r="E164" s="6"/>
      <c r="F164" s="6"/>
      <c r="G164" s="53">
        <f>G165</f>
        <v>19900</v>
      </c>
      <c r="H164" s="53">
        <f>H165</f>
        <v>19900</v>
      </c>
      <c r="I164" s="53">
        <f>I165</f>
        <v>19900</v>
      </c>
      <c r="J164" s="53">
        <f>J165</f>
        <v>19900</v>
      </c>
      <c r="K164" s="63"/>
    </row>
    <row r="165" spans="1:11" s="49" customFormat="1" ht="29.25">
      <c r="A165" s="2" t="s">
        <v>431</v>
      </c>
      <c r="B165" s="4" t="s">
        <v>261</v>
      </c>
      <c r="C165" s="4" t="s">
        <v>265</v>
      </c>
      <c r="D165" s="4" t="s">
        <v>132</v>
      </c>
      <c r="E165" s="6" t="s">
        <v>421</v>
      </c>
      <c r="F165" s="6"/>
      <c r="G165" s="53">
        <f>'Прилож №7'!H125</f>
        <v>19900</v>
      </c>
      <c r="H165" s="53">
        <f>'Прилож №7'!I125</f>
        <v>19900</v>
      </c>
      <c r="I165" s="53">
        <f>'Прилож №7'!J125</f>
        <v>19900</v>
      </c>
      <c r="J165" s="53">
        <f>'Прилож №7'!K125</f>
        <v>19900</v>
      </c>
      <c r="K165" s="63"/>
    </row>
    <row r="166" spans="1:11" s="49" customFormat="1" ht="57.75">
      <c r="A166" s="2" t="s">
        <v>122</v>
      </c>
      <c r="B166" s="4" t="s">
        <v>261</v>
      </c>
      <c r="C166" s="4" t="s">
        <v>265</v>
      </c>
      <c r="D166" s="4" t="s">
        <v>120</v>
      </c>
      <c r="E166" s="6"/>
      <c r="F166" s="6"/>
      <c r="G166" s="53">
        <f>G167</f>
        <v>20000</v>
      </c>
      <c r="H166" s="53">
        <f>H167</f>
        <v>20000</v>
      </c>
      <c r="I166" s="53">
        <f>I167</f>
        <v>20000</v>
      </c>
      <c r="J166" s="53">
        <f>J167</f>
        <v>20000</v>
      </c>
      <c r="K166" s="63"/>
    </row>
    <row r="167" spans="1:11" s="49" customFormat="1" ht="29.25">
      <c r="A167" s="2" t="s">
        <v>431</v>
      </c>
      <c r="B167" s="4" t="s">
        <v>261</v>
      </c>
      <c r="C167" s="4" t="s">
        <v>265</v>
      </c>
      <c r="D167" s="4" t="s">
        <v>120</v>
      </c>
      <c r="E167" s="6" t="s">
        <v>421</v>
      </c>
      <c r="F167" s="6" t="s">
        <v>424</v>
      </c>
      <c r="G167" s="53">
        <f>'Прилож №7'!H127</f>
        <v>20000</v>
      </c>
      <c r="H167" s="53">
        <f>'Прилож №7'!I127</f>
        <v>20000</v>
      </c>
      <c r="I167" s="53">
        <f>'Прилож №7'!J127</f>
        <v>20000</v>
      </c>
      <c r="J167" s="53">
        <f>'Прилож №7'!K127</f>
        <v>20000</v>
      </c>
      <c r="K167" s="63"/>
    </row>
    <row r="168" spans="1:11" ht="14.25">
      <c r="A168" s="8" t="s">
        <v>223</v>
      </c>
      <c r="B168" s="4" t="s">
        <v>261</v>
      </c>
      <c r="C168" s="4" t="s">
        <v>265</v>
      </c>
      <c r="D168" s="4" t="s">
        <v>224</v>
      </c>
      <c r="E168" s="4"/>
      <c r="F168" s="4"/>
      <c r="G168" s="53">
        <f>G169</f>
        <v>41206.3</v>
      </c>
      <c r="H168" s="53">
        <f aca="true" t="shared" si="9" ref="H168:J169">H169</f>
        <v>0</v>
      </c>
      <c r="I168" s="53">
        <f t="shared" si="9"/>
        <v>40722.8</v>
      </c>
      <c r="J168" s="53">
        <f t="shared" si="9"/>
        <v>0</v>
      </c>
      <c r="K168" s="83"/>
    </row>
    <row r="169" spans="1:11" ht="71.25">
      <c r="A169" s="7" t="s">
        <v>464</v>
      </c>
      <c r="B169" s="4" t="s">
        <v>261</v>
      </c>
      <c r="C169" s="4" t="s">
        <v>265</v>
      </c>
      <c r="D169" s="4" t="s">
        <v>463</v>
      </c>
      <c r="E169" s="4"/>
      <c r="F169" s="4"/>
      <c r="G169" s="53">
        <f>G170</f>
        <v>41206.3</v>
      </c>
      <c r="H169" s="53">
        <f t="shared" si="9"/>
        <v>0</v>
      </c>
      <c r="I169" s="53">
        <f t="shared" si="9"/>
        <v>40722.8</v>
      </c>
      <c r="J169" s="53">
        <f t="shared" si="9"/>
        <v>0</v>
      </c>
      <c r="K169" s="83"/>
    </row>
    <row r="170" spans="1:11" ht="28.5">
      <c r="A170" s="2" t="s">
        <v>431</v>
      </c>
      <c r="B170" s="4" t="s">
        <v>261</v>
      </c>
      <c r="C170" s="4" t="s">
        <v>265</v>
      </c>
      <c r="D170" s="4" t="s">
        <v>463</v>
      </c>
      <c r="E170" s="4" t="s">
        <v>421</v>
      </c>
      <c r="F170" s="4"/>
      <c r="G170" s="53">
        <f>'Прилож №7'!H130</f>
        <v>41206.3</v>
      </c>
      <c r="H170" s="53">
        <f>'Прилож №7'!I130</f>
        <v>0</v>
      </c>
      <c r="I170" s="53">
        <f>'Прилож №7'!J130</f>
        <v>40722.8</v>
      </c>
      <c r="J170" s="53">
        <f>'Прилож №7'!K130</f>
        <v>0</v>
      </c>
      <c r="K170" s="83"/>
    </row>
    <row r="171" spans="1:11" ht="15">
      <c r="A171" s="47" t="s">
        <v>40</v>
      </c>
      <c r="B171" s="63" t="s">
        <v>261</v>
      </c>
      <c r="C171" s="63" t="s">
        <v>266</v>
      </c>
      <c r="D171" s="63"/>
      <c r="E171" s="63"/>
      <c r="F171" s="81"/>
      <c r="G171" s="48">
        <f>G172+G182</f>
        <v>15090.3</v>
      </c>
      <c r="H171" s="48">
        <f>H172+H182</f>
        <v>9575.4</v>
      </c>
      <c r="I171" s="48">
        <f>I172+I182</f>
        <v>14105.599999999999</v>
      </c>
      <c r="J171" s="48">
        <f>J172+J182</f>
        <v>9475.4</v>
      </c>
      <c r="K171" s="63">
        <f>I171/G171*100</f>
        <v>93.47461614414557</v>
      </c>
    </row>
    <row r="172" spans="1:11" ht="14.25">
      <c r="A172" s="2" t="s">
        <v>530</v>
      </c>
      <c r="B172" s="4" t="s">
        <v>261</v>
      </c>
      <c r="C172" s="4" t="s">
        <v>266</v>
      </c>
      <c r="D172" s="4" t="s">
        <v>528</v>
      </c>
      <c r="E172" s="4"/>
      <c r="F172" s="6"/>
      <c r="G172" s="53">
        <f>G173+G176</f>
        <v>9575.4</v>
      </c>
      <c r="H172" s="53">
        <f>H173+H176</f>
        <v>9575.4</v>
      </c>
      <c r="I172" s="53">
        <f>I173+I176</f>
        <v>9475.4</v>
      </c>
      <c r="J172" s="53">
        <f>J173+J176</f>
        <v>9475.4</v>
      </c>
      <c r="K172" s="83"/>
    </row>
    <row r="173" spans="1:11" ht="42.75">
      <c r="A173" s="2" t="s">
        <v>42</v>
      </c>
      <c r="B173" s="4" t="s">
        <v>261</v>
      </c>
      <c r="C173" s="4" t="s">
        <v>266</v>
      </c>
      <c r="D173" s="4" t="s">
        <v>41</v>
      </c>
      <c r="E173" s="4"/>
      <c r="F173" s="6"/>
      <c r="G173" s="53">
        <f>G174</f>
        <v>1269</v>
      </c>
      <c r="H173" s="53">
        <f aca="true" t="shared" si="10" ref="H173:J174">H174</f>
        <v>1269</v>
      </c>
      <c r="I173" s="53">
        <f t="shared" si="10"/>
        <v>1269</v>
      </c>
      <c r="J173" s="53">
        <f t="shared" si="10"/>
        <v>1269</v>
      </c>
      <c r="K173" s="83"/>
    </row>
    <row r="174" spans="1:11" ht="28.5">
      <c r="A174" s="2" t="s">
        <v>44</v>
      </c>
      <c r="B174" s="4" t="s">
        <v>261</v>
      </c>
      <c r="C174" s="4" t="s">
        <v>266</v>
      </c>
      <c r="D174" s="4" t="s">
        <v>43</v>
      </c>
      <c r="E174" s="4"/>
      <c r="F174" s="6"/>
      <c r="G174" s="53">
        <f>G175</f>
        <v>1269</v>
      </c>
      <c r="H174" s="53">
        <f t="shared" si="10"/>
        <v>1269</v>
      </c>
      <c r="I174" s="53">
        <f t="shared" si="10"/>
        <v>1269</v>
      </c>
      <c r="J174" s="53">
        <f t="shared" si="10"/>
        <v>1269</v>
      </c>
      <c r="K174" s="83"/>
    </row>
    <row r="175" spans="1:11" ht="28.5">
      <c r="A175" s="2" t="s">
        <v>440</v>
      </c>
      <c r="B175" s="4" t="s">
        <v>261</v>
      </c>
      <c r="C175" s="4" t="s">
        <v>266</v>
      </c>
      <c r="D175" s="4" t="s">
        <v>43</v>
      </c>
      <c r="E175" s="4" t="s">
        <v>437</v>
      </c>
      <c r="F175" s="6" t="s">
        <v>437</v>
      </c>
      <c r="G175" s="53">
        <f>'Прилож №7'!H722</f>
        <v>1269</v>
      </c>
      <c r="H175" s="53">
        <f>'Прилож №7'!I722</f>
        <v>1269</v>
      </c>
      <c r="I175" s="53">
        <f>'Прилож №7'!J722</f>
        <v>1269</v>
      </c>
      <c r="J175" s="53">
        <f>'Прилож №7'!K722</f>
        <v>1269</v>
      </c>
      <c r="K175" s="83"/>
    </row>
    <row r="176" spans="1:11" ht="71.25">
      <c r="A176" s="2" t="s">
        <v>123</v>
      </c>
      <c r="B176" s="4" t="s">
        <v>261</v>
      </c>
      <c r="C176" s="4" t="s">
        <v>266</v>
      </c>
      <c r="D176" s="4" t="s">
        <v>71</v>
      </c>
      <c r="E176" s="6"/>
      <c r="F176" s="6"/>
      <c r="G176" s="53">
        <f>G177</f>
        <v>8306.4</v>
      </c>
      <c r="H176" s="53">
        <f>H177</f>
        <v>8306.4</v>
      </c>
      <c r="I176" s="53">
        <f>I177</f>
        <v>8206.4</v>
      </c>
      <c r="J176" s="53">
        <f>J177</f>
        <v>8206.4</v>
      </c>
      <c r="K176" s="83"/>
    </row>
    <row r="177" spans="1:11" ht="14.25">
      <c r="A177" s="8" t="s">
        <v>599</v>
      </c>
      <c r="B177" s="4" t="s">
        <v>261</v>
      </c>
      <c r="C177" s="4" t="s">
        <v>266</v>
      </c>
      <c r="D177" s="4" t="s">
        <v>71</v>
      </c>
      <c r="E177" s="6" t="s">
        <v>526</v>
      </c>
      <c r="F177" s="6" t="s">
        <v>526</v>
      </c>
      <c r="G177" s="53">
        <f>G178+G180</f>
        <v>8306.4</v>
      </c>
      <c r="H177" s="53">
        <f>H178+H180</f>
        <v>8306.4</v>
      </c>
      <c r="I177" s="53">
        <f>I178+I180</f>
        <v>8206.4</v>
      </c>
      <c r="J177" s="53">
        <f>J178+J180</f>
        <v>8206.4</v>
      </c>
      <c r="K177" s="83"/>
    </row>
    <row r="178" spans="1:11" ht="28.5">
      <c r="A178" s="2" t="s">
        <v>44</v>
      </c>
      <c r="B178" s="4" t="s">
        <v>261</v>
      </c>
      <c r="C178" s="4" t="s">
        <v>266</v>
      </c>
      <c r="D178" s="4" t="s">
        <v>72</v>
      </c>
      <c r="E178" s="6"/>
      <c r="F178" s="6"/>
      <c r="G178" s="53">
        <f>G179</f>
        <v>7294.2</v>
      </c>
      <c r="H178" s="53">
        <f>H179</f>
        <v>7294.2</v>
      </c>
      <c r="I178" s="53">
        <f>I179</f>
        <v>7194.2</v>
      </c>
      <c r="J178" s="53">
        <f>J179</f>
        <v>7194.2</v>
      </c>
      <c r="K178" s="83"/>
    </row>
    <row r="179" spans="1:11" ht="28.5">
      <c r="A179" s="2" t="s">
        <v>440</v>
      </c>
      <c r="B179" s="4" t="s">
        <v>261</v>
      </c>
      <c r="C179" s="4" t="s">
        <v>266</v>
      </c>
      <c r="D179" s="4" t="s">
        <v>72</v>
      </c>
      <c r="E179" s="6" t="s">
        <v>437</v>
      </c>
      <c r="F179" s="6" t="s">
        <v>437</v>
      </c>
      <c r="G179" s="53">
        <f>'Прилож №7'!H135</f>
        <v>7294.2</v>
      </c>
      <c r="H179" s="53">
        <f>'Прилож №7'!I135</f>
        <v>7294.2</v>
      </c>
      <c r="I179" s="53">
        <f>'Прилож №7'!J135</f>
        <v>7194.2</v>
      </c>
      <c r="J179" s="53">
        <f>'Прилож №7'!K135</f>
        <v>7194.2</v>
      </c>
      <c r="K179" s="83"/>
    </row>
    <row r="180" spans="1:11" ht="57">
      <c r="A180" s="2" t="s">
        <v>114</v>
      </c>
      <c r="B180" s="4" t="s">
        <v>261</v>
      </c>
      <c r="C180" s="4" t="s">
        <v>266</v>
      </c>
      <c r="D180" s="4" t="s">
        <v>73</v>
      </c>
      <c r="E180" s="6"/>
      <c r="F180" s="6"/>
      <c r="G180" s="53">
        <f>G181</f>
        <v>1012.2</v>
      </c>
      <c r="H180" s="53">
        <f>H181</f>
        <v>1012.2</v>
      </c>
      <c r="I180" s="53">
        <f>I181</f>
        <v>1012.2</v>
      </c>
      <c r="J180" s="53">
        <f>J181</f>
        <v>1012.2</v>
      </c>
      <c r="K180" s="83"/>
    </row>
    <row r="181" spans="1:11" ht="28.5">
      <c r="A181" s="2" t="s">
        <v>440</v>
      </c>
      <c r="B181" s="4" t="s">
        <v>261</v>
      </c>
      <c r="C181" s="4" t="s">
        <v>266</v>
      </c>
      <c r="D181" s="4" t="s">
        <v>73</v>
      </c>
      <c r="E181" s="6" t="s">
        <v>437</v>
      </c>
      <c r="F181" s="6" t="s">
        <v>437</v>
      </c>
      <c r="G181" s="53">
        <f>'Прилож №7'!H137</f>
        <v>1012.2</v>
      </c>
      <c r="H181" s="53">
        <f>'Прилож №7'!I137</f>
        <v>1012.2</v>
      </c>
      <c r="I181" s="53">
        <f>'Прилож №7'!J137</f>
        <v>1012.2</v>
      </c>
      <c r="J181" s="53">
        <f>'Прилож №7'!K137</f>
        <v>1012.2</v>
      </c>
      <c r="K181" s="83"/>
    </row>
    <row r="182" spans="1:11" ht="14.25">
      <c r="A182" s="8" t="s">
        <v>223</v>
      </c>
      <c r="B182" s="4" t="s">
        <v>261</v>
      </c>
      <c r="C182" s="4" t="s">
        <v>266</v>
      </c>
      <c r="D182" s="4" t="s">
        <v>224</v>
      </c>
      <c r="E182" s="6"/>
      <c r="F182" s="6"/>
      <c r="G182" s="53">
        <f>G183+G186</f>
        <v>5514.9</v>
      </c>
      <c r="H182" s="53">
        <f>H183+H186</f>
        <v>0</v>
      </c>
      <c r="I182" s="53">
        <f>I183+I186</f>
        <v>4630.2</v>
      </c>
      <c r="J182" s="53">
        <f>J183+J186</f>
        <v>0</v>
      </c>
      <c r="K182" s="83"/>
    </row>
    <row r="183" spans="1:11" ht="71.25">
      <c r="A183" s="7" t="s">
        <v>496</v>
      </c>
      <c r="B183" s="4" t="s">
        <v>261</v>
      </c>
      <c r="C183" s="4" t="s">
        <v>266</v>
      </c>
      <c r="D183" s="4" t="s">
        <v>497</v>
      </c>
      <c r="E183" s="6"/>
      <c r="F183" s="6"/>
      <c r="G183" s="53">
        <f>G184+G185</f>
        <v>3983.9</v>
      </c>
      <c r="H183" s="53">
        <f>H184+H185</f>
        <v>0</v>
      </c>
      <c r="I183" s="53">
        <f>I184+I185</f>
        <v>3099.2</v>
      </c>
      <c r="J183" s="53">
        <f>J184+J185</f>
        <v>0</v>
      </c>
      <c r="K183" s="83"/>
    </row>
    <row r="184" spans="1:11" ht="28.5">
      <c r="A184" s="2" t="s">
        <v>440</v>
      </c>
      <c r="B184" s="4" t="s">
        <v>261</v>
      </c>
      <c r="C184" s="4" t="s">
        <v>266</v>
      </c>
      <c r="D184" s="4" t="s">
        <v>497</v>
      </c>
      <c r="E184" s="6" t="s">
        <v>437</v>
      </c>
      <c r="F184" s="6"/>
      <c r="G184" s="53">
        <f>'Прилож №7'!H140</f>
        <v>2484.3</v>
      </c>
      <c r="H184" s="53">
        <f>'Прилож №7'!I140</f>
        <v>0</v>
      </c>
      <c r="I184" s="53">
        <f>'Прилож №7'!J140</f>
        <v>1658.2</v>
      </c>
      <c r="J184" s="53">
        <f>'Прилож №7'!K140</f>
        <v>0</v>
      </c>
      <c r="K184" s="83"/>
    </row>
    <row r="185" spans="1:11" ht="28.5">
      <c r="A185" s="2" t="s">
        <v>431</v>
      </c>
      <c r="B185" s="4" t="s">
        <v>261</v>
      </c>
      <c r="C185" s="4" t="s">
        <v>266</v>
      </c>
      <c r="D185" s="4" t="s">
        <v>497</v>
      </c>
      <c r="E185" s="6" t="s">
        <v>421</v>
      </c>
      <c r="F185" s="6"/>
      <c r="G185" s="53">
        <f>'Прилож №7'!H141</f>
        <v>1499.6</v>
      </c>
      <c r="H185" s="53">
        <f>'Прилож №7'!I141</f>
        <v>0</v>
      </c>
      <c r="I185" s="53">
        <f>'Прилож №7'!J141</f>
        <v>1441</v>
      </c>
      <c r="J185" s="53">
        <f>'Прилож №7'!K141</f>
        <v>0</v>
      </c>
      <c r="K185" s="83"/>
    </row>
    <row r="186" spans="1:11" ht="42.75">
      <c r="A186" s="7" t="s">
        <v>208</v>
      </c>
      <c r="B186" s="4" t="s">
        <v>261</v>
      </c>
      <c r="C186" s="4" t="s">
        <v>266</v>
      </c>
      <c r="D186" s="4" t="s">
        <v>209</v>
      </c>
      <c r="E186" s="6"/>
      <c r="F186" s="6"/>
      <c r="G186" s="53">
        <f>G187</f>
        <v>1531</v>
      </c>
      <c r="H186" s="53">
        <f>H187</f>
        <v>0</v>
      </c>
      <c r="I186" s="53">
        <f>I187</f>
        <v>1531</v>
      </c>
      <c r="J186" s="53">
        <f>J187</f>
        <v>0</v>
      </c>
      <c r="K186" s="83"/>
    </row>
    <row r="187" spans="1:11" ht="28.5">
      <c r="A187" s="2" t="s">
        <v>440</v>
      </c>
      <c r="B187" s="4" t="s">
        <v>261</v>
      </c>
      <c r="C187" s="4" t="s">
        <v>266</v>
      </c>
      <c r="D187" s="4" t="s">
        <v>209</v>
      </c>
      <c r="E187" s="6" t="s">
        <v>437</v>
      </c>
      <c r="F187" s="6"/>
      <c r="G187" s="53">
        <f>'Прилож №7'!H725</f>
        <v>1531</v>
      </c>
      <c r="H187" s="53">
        <f>'Прилож №7'!I725</f>
        <v>0</v>
      </c>
      <c r="I187" s="53">
        <f>'Прилож №7'!J725</f>
        <v>1531</v>
      </c>
      <c r="J187" s="53">
        <f>'Прилож №7'!K725</f>
        <v>0</v>
      </c>
      <c r="K187" s="83"/>
    </row>
    <row r="188" spans="1:11" s="49" customFormat="1" ht="15">
      <c r="A188" s="11" t="s">
        <v>181</v>
      </c>
      <c r="B188" s="3" t="s">
        <v>261</v>
      </c>
      <c r="C188" s="3" t="s">
        <v>262</v>
      </c>
      <c r="D188" s="3"/>
      <c r="E188" s="3"/>
      <c r="F188" s="3"/>
      <c r="G188" s="48">
        <f>G189+G200+G207+G203+G211</f>
        <v>77584.79999999999</v>
      </c>
      <c r="H188" s="48">
        <f>H189+H200+H207+H203+H211</f>
        <v>2250</v>
      </c>
      <c r="I188" s="48">
        <f>I189+I200+I207+I203+I211</f>
        <v>75615.20000000001</v>
      </c>
      <c r="J188" s="48">
        <f>J189+J200+J207+J203+J211</f>
        <v>1492.6</v>
      </c>
      <c r="K188" s="63">
        <f>I188/G188*100</f>
        <v>97.46135841041031</v>
      </c>
    </row>
    <row r="189" spans="1:11" s="49" customFormat="1" ht="29.25">
      <c r="A189" s="2" t="s">
        <v>207</v>
      </c>
      <c r="B189" s="4" t="s">
        <v>261</v>
      </c>
      <c r="C189" s="4" t="s">
        <v>262</v>
      </c>
      <c r="D189" s="4" t="s">
        <v>237</v>
      </c>
      <c r="E189" s="4"/>
      <c r="F189" s="5"/>
      <c r="G189" s="53">
        <f>G190+G192</f>
        <v>69415.9</v>
      </c>
      <c r="H189" s="53">
        <f>H190+H192</f>
        <v>0</v>
      </c>
      <c r="I189" s="53">
        <f>I190+I192</f>
        <v>69038.8</v>
      </c>
      <c r="J189" s="53">
        <f>J190+J192</f>
        <v>0</v>
      </c>
      <c r="K189" s="63"/>
    </row>
    <row r="190" spans="1:11" s="49" customFormat="1" ht="15">
      <c r="A190" s="2" t="s">
        <v>187</v>
      </c>
      <c r="B190" s="4" t="s">
        <v>261</v>
      </c>
      <c r="C190" s="4" t="s">
        <v>262</v>
      </c>
      <c r="D190" s="4" t="s">
        <v>270</v>
      </c>
      <c r="E190" s="4"/>
      <c r="F190" s="5"/>
      <c r="G190" s="53">
        <f>G191</f>
        <v>2477.1000000000004</v>
      </c>
      <c r="H190" s="53">
        <f>H191</f>
        <v>0</v>
      </c>
      <c r="I190" s="53">
        <f>I191</f>
        <v>2477.1</v>
      </c>
      <c r="J190" s="53">
        <f>J191</f>
        <v>0</v>
      </c>
      <c r="K190" s="63"/>
    </row>
    <row r="191" spans="1:11" s="49" customFormat="1" ht="15">
      <c r="A191" s="2" t="s">
        <v>426</v>
      </c>
      <c r="B191" s="4" t="s">
        <v>261</v>
      </c>
      <c r="C191" s="4" t="s">
        <v>262</v>
      </c>
      <c r="D191" s="4" t="s">
        <v>270</v>
      </c>
      <c r="E191" s="4" t="s">
        <v>425</v>
      </c>
      <c r="F191" s="5"/>
      <c r="G191" s="53">
        <f>'Прилож №7'!H750</f>
        <v>2477.1000000000004</v>
      </c>
      <c r="H191" s="53">
        <f>'Прилож №7'!I750</f>
        <v>0</v>
      </c>
      <c r="I191" s="53">
        <f>'Прилож №7'!J750</f>
        <v>2477.1</v>
      </c>
      <c r="J191" s="53">
        <f>'Прилож №7'!K750</f>
        <v>0</v>
      </c>
      <c r="K191" s="63"/>
    </row>
    <row r="192" spans="1:11" s="49" customFormat="1" ht="15">
      <c r="A192" s="8" t="s">
        <v>157</v>
      </c>
      <c r="B192" s="4" t="s">
        <v>261</v>
      </c>
      <c r="C192" s="4" t="s">
        <v>262</v>
      </c>
      <c r="D192" s="4" t="s">
        <v>353</v>
      </c>
      <c r="E192" s="4"/>
      <c r="F192" s="6"/>
      <c r="G192" s="53">
        <f>G198+G193+G199+G195</f>
        <v>66938.79999999999</v>
      </c>
      <c r="H192" s="53">
        <f>H198+H193+H199+H195</f>
        <v>0</v>
      </c>
      <c r="I192" s="53">
        <f>I198+I193+I199+I195</f>
        <v>66561.7</v>
      </c>
      <c r="J192" s="53">
        <f>J198+J193+J199+J195</f>
        <v>0</v>
      </c>
      <c r="K192" s="63"/>
    </row>
    <row r="193" spans="1:11" s="49" customFormat="1" ht="15">
      <c r="A193" s="8" t="s">
        <v>555</v>
      </c>
      <c r="B193" s="4" t="s">
        <v>261</v>
      </c>
      <c r="C193" s="4" t="s">
        <v>262</v>
      </c>
      <c r="D193" s="4" t="s">
        <v>353</v>
      </c>
      <c r="E193" s="4" t="s">
        <v>534</v>
      </c>
      <c r="F193" s="6"/>
      <c r="G193" s="53">
        <f>G194</f>
        <v>532.1</v>
      </c>
      <c r="H193" s="53">
        <f>H194</f>
        <v>0</v>
      </c>
      <c r="I193" s="53">
        <f>I194</f>
        <v>532.1</v>
      </c>
      <c r="J193" s="53">
        <f>J194</f>
        <v>0</v>
      </c>
      <c r="K193" s="63"/>
    </row>
    <row r="194" spans="1:11" s="49" customFormat="1" ht="15">
      <c r="A194" s="2" t="s">
        <v>415</v>
      </c>
      <c r="B194" s="4" t="s">
        <v>261</v>
      </c>
      <c r="C194" s="4" t="s">
        <v>262</v>
      </c>
      <c r="D194" s="4" t="s">
        <v>353</v>
      </c>
      <c r="E194" s="6" t="s">
        <v>443</v>
      </c>
      <c r="F194" s="6"/>
      <c r="G194" s="53">
        <f>'Прилож №7'!H146</f>
        <v>532.1</v>
      </c>
      <c r="H194" s="53">
        <f>'Прилож №7'!I146</f>
        <v>0</v>
      </c>
      <c r="I194" s="53">
        <f>'Прилож №7'!J146</f>
        <v>532.1</v>
      </c>
      <c r="J194" s="53">
        <f>'Прилож №7'!K146</f>
        <v>0</v>
      </c>
      <c r="K194" s="63"/>
    </row>
    <row r="195" spans="1:11" s="49" customFormat="1" ht="15">
      <c r="A195" s="2" t="s">
        <v>599</v>
      </c>
      <c r="B195" s="4" t="s">
        <v>261</v>
      </c>
      <c r="C195" s="4" t="s">
        <v>262</v>
      </c>
      <c r="D195" s="4" t="s">
        <v>353</v>
      </c>
      <c r="E195" s="6" t="s">
        <v>526</v>
      </c>
      <c r="F195" s="6"/>
      <c r="G195" s="53">
        <f>G196+G197</f>
        <v>467.9</v>
      </c>
      <c r="H195" s="53">
        <f>H196+H197</f>
        <v>0</v>
      </c>
      <c r="I195" s="53">
        <f>I196+I197</f>
        <v>333.3</v>
      </c>
      <c r="J195" s="53">
        <f>J196+J197</f>
        <v>0</v>
      </c>
      <c r="K195" s="63"/>
    </row>
    <row r="196" spans="1:11" s="49" customFormat="1" ht="29.25">
      <c r="A196" s="2" t="s">
        <v>440</v>
      </c>
      <c r="B196" s="4" t="s">
        <v>261</v>
      </c>
      <c r="C196" s="4" t="s">
        <v>262</v>
      </c>
      <c r="D196" s="4" t="s">
        <v>353</v>
      </c>
      <c r="E196" s="6" t="s">
        <v>437</v>
      </c>
      <c r="F196" s="6"/>
      <c r="G196" s="53">
        <f>'Прилож №7'!H148</f>
        <v>15</v>
      </c>
      <c r="H196" s="53">
        <f>'Прилож №7'!I148</f>
        <v>0</v>
      </c>
      <c r="I196" s="53">
        <f>'Прилож №7'!J148</f>
        <v>0</v>
      </c>
      <c r="J196" s="53">
        <f>'Прилож №7'!K148</f>
        <v>0</v>
      </c>
      <c r="K196" s="63"/>
    </row>
    <row r="197" spans="1:11" s="49" customFormat="1" ht="29.25">
      <c r="A197" s="2" t="s">
        <v>431</v>
      </c>
      <c r="B197" s="4" t="s">
        <v>261</v>
      </c>
      <c r="C197" s="4" t="s">
        <v>262</v>
      </c>
      <c r="D197" s="4" t="s">
        <v>353</v>
      </c>
      <c r="E197" s="6" t="s">
        <v>421</v>
      </c>
      <c r="F197" s="6"/>
      <c r="G197" s="53">
        <f>'Прилож №7'!H149</f>
        <v>452.9</v>
      </c>
      <c r="H197" s="53">
        <f>'Прилож №7'!I149</f>
        <v>0</v>
      </c>
      <c r="I197" s="53">
        <f>'Прилож №7'!J149</f>
        <v>333.3</v>
      </c>
      <c r="J197" s="53">
        <f>'Прилож №7'!K149</f>
        <v>0</v>
      </c>
      <c r="K197" s="63"/>
    </row>
    <row r="198" spans="1:11" s="49" customFormat="1" ht="43.5">
      <c r="A198" s="2" t="s">
        <v>429</v>
      </c>
      <c r="B198" s="4" t="s">
        <v>261</v>
      </c>
      <c r="C198" s="4" t="s">
        <v>262</v>
      </c>
      <c r="D198" s="4" t="s">
        <v>353</v>
      </c>
      <c r="E198" s="4" t="s">
        <v>402</v>
      </c>
      <c r="F198" s="6" t="s">
        <v>195</v>
      </c>
      <c r="G198" s="53">
        <f>'Прилож №7'!H150</f>
        <v>57728.8</v>
      </c>
      <c r="H198" s="53">
        <f>'Прилож №7'!I150</f>
        <v>0</v>
      </c>
      <c r="I198" s="53">
        <f>'Прилож №7'!J150</f>
        <v>57728.8</v>
      </c>
      <c r="J198" s="53">
        <f>'Прилож №7'!K150</f>
        <v>0</v>
      </c>
      <c r="K198" s="63"/>
    </row>
    <row r="199" spans="1:11" s="49" customFormat="1" ht="15">
      <c r="A199" s="7" t="s">
        <v>399</v>
      </c>
      <c r="B199" s="4" t="s">
        <v>261</v>
      </c>
      <c r="C199" s="4" t="s">
        <v>262</v>
      </c>
      <c r="D199" s="4" t="s">
        <v>353</v>
      </c>
      <c r="E199" s="4" t="s">
        <v>398</v>
      </c>
      <c r="F199" s="6"/>
      <c r="G199" s="53">
        <f>'Прилож №7'!H151</f>
        <v>8210</v>
      </c>
      <c r="H199" s="53">
        <f>'Прилож №7'!I151</f>
        <v>0</v>
      </c>
      <c r="I199" s="53">
        <f>'Прилож №7'!J151</f>
        <v>7967.5</v>
      </c>
      <c r="J199" s="53">
        <f>'Прилож №7'!K151</f>
        <v>0</v>
      </c>
      <c r="K199" s="63"/>
    </row>
    <row r="200" spans="1:11" s="49" customFormat="1" ht="29.25">
      <c r="A200" s="2" t="s">
        <v>213</v>
      </c>
      <c r="B200" s="4" t="s">
        <v>261</v>
      </c>
      <c r="C200" s="4" t="s">
        <v>262</v>
      </c>
      <c r="D200" s="4" t="s">
        <v>186</v>
      </c>
      <c r="E200" s="4"/>
      <c r="F200" s="6"/>
      <c r="G200" s="53">
        <f>G201</f>
        <v>1506.6999999999998</v>
      </c>
      <c r="H200" s="53">
        <f aca="true" t="shared" si="11" ref="H200:J201">H201</f>
        <v>0</v>
      </c>
      <c r="I200" s="53">
        <f t="shared" si="11"/>
        <v>735</v>
      </c>
      <c r="J200" s="53">
        <f t="shared" si="11"/>
        <v>0</v>
      </c>
      <c r="K200" s="63"/>
    </row>
    <row r="201" spans="1:11" s="49" customFormat="1" ht="15">
      <c r="A201" s="2" t="s">
        <v>314</v>
      </c>
      <c r="B201" s="4" t="s">
        <v>261</v>
      </c>
      <c r="C201" s="4" t="s">
        <v>262</v>
      </c>
      <c r="D201" s="4" t="s">
        <v>315</v>
      </c>
      <c r="E201" s="4"/>
      <c r="F201" s="6"/>
      <c r="G201" s="53">
        <f>G202</f>
        <v>1506.6999999999998</v>
      </c>
      <c r="H201" s="53">
        <f t="shared" si="11"/>
        <v>0</v>
      </c>
      <c r="I201" s="53">
        <f t="shared" si="11"/>
        <v>735</v>
      </c>
      <c r="J201" s="53">
        <f t="shared" si="11"/>
        <v>0</v>
      </c>
      <c r="K201" s="63"/>
    </row>
    <row r="202" spans="1:11" s="49" customFormat="1" ht="29.25">
      <c r="A202" s="2" t="s">
        <v>431</v>
      </c>
      <c r="B202" s="4" t="s">
        <v>261</v>
      </c>
      <c r="C202" s="4" t="s">
        <v>262</v>
      </c>
      <c r="D202" s="4" t="s">
        <v>315</v>
      </c>
      <c r="E202" s="4" t="s">
        <v>421</v>
      </c>
      <c r="F202" s="6" t="s">
        <v>294</v>
      </c>
      <c r="G202" s="53">
        <f>'Прилож №7'!H753+'Прилож №7'!H154+'Прилож №7'!H515</f>
        <v>1506.6999999999998</v>
      </c>
      <c r="H202" s="53">
        <f>'Прилож №7'!I753+'Прилож №7'!I154+'Прилож №7'!I515</f>
        <v>0</v>
      </c>
      <c r="I202" s="53">
        <f>'Прилож №7'!J753+'Прилож №7'!J154+'Прилож №7'!J515</f>
        <v>735</v>
      </c>
      <c r="J202" s="53">
        <f>'Прилож №7'!K753+'Прилож №7'!K154+'Прилож №7'!K515</f>
        <v>0</v>
      </c>
      <c r="K202" s="63"/>
    </row>
    <row r="203" spans="1:11" s="49" customFormat="1" ht="15">
      <c r="A203" s="2" t="s">
        <v>485</v>
      </c>
      <c r="B203" s="4" t="s">
        <v>261</v>
      </c>
      <c r="C203" s="4" t="s">
        <v>262</v>
      </c>
      <c r="D203" s="4" t="s">
        <v>483</v>
      </c>
      <c r="E203" s="4"/>
      <c r="F203" s="6"/>
      <c r="G203" s="53">
        <f>G204</f>
        <v>1552.5</v>
      </c>
      <c r="H203" s="53">
        <f>H204</f>
        <v>1552.5</v>
      </c>
      <c r="I203" s="53">
        <f>I204</f>
        <v>795.1</v>
      </c>
      <c r="J203" s="53">
        <f>J204</f>
        <v>795.1</v>
      </c>
      <c r="K203" s="63"/>
    </row>
    <row r="204" spans="1:11" s="49" customFormat="1" ht="43.5">
      <c r="A204" s="2" t="s">
        <v>486</v>
      </c>
      <c r="B204" s="4" t="s">
        <v>261</v>
      </c>
      <c r="C204" s="4" t="s">
        <v>262</v>
      </c>
      <c r="D204" s="4" t="s">
        <v>484</v>
      </c>
      <c r="E204" s="4"/>
      <c r="F204" s="6"/>
      <c r="G204" s="53">
        <f>G205+G206</f>
        <v>1552.5</v>
      </c>
      <c r="H204" s="53">
        <f>H205+H206</f>
        <v>1552.5</v>
      </c>
      <c r="I204" s="53">
        <f>I205+I206</f>
        <v>795.1</v>
      </c>
      <c r="J204" s="53">
        <f>J205+J206</f>
        <v>795.1</v>
      </c>
      <c r="K204" s="63"/>
    </row>
    <row r="205" spans="1:11" s="49" customFormat="1" ht="29.25">
      <c r="A205" s="2" t="s">
        <v>431</v>
      </c>
      <c r="B205" s="4" t="s">
        <v>261</v>
      </c>
      <c r="C205" s="4" t="s">
        <v>262</v>
      </c>
      <c r="D205" s="4" t="s">
        <v>484</v>
      </c>
      <c r="E205" s="4" t="s">
        <v>421</v>
      </c>
      <c r="F205" s="6" t="s">
        <v>421</v>
      </c>
      <c r="G205" s="53">
        <f>'Прилож №7'!H157</f>
        <v>752.5</v>
      </c>
      <c r="H205" s="53">
        <f>'Прилож №7'!I157</f>
        <v>752.5</v>
      </c>
      <c r="I205" s="53">
        <f>'Прилож №7'!J157</f>
        <v>0</v>
      </c>
      <c r="J205" s="53">
        <f>'Прилож №7'!K157</f>
        <v>0</v>
      </c>
      <c r="K205" s="63"/>
    </row>
    <row r="206" spans="1:11" s="49" customFormat="1" ht="43.5">
      <c r="A206" s="2" t="s">
        <v>480</v>
      </c>
      <c r="B206" s="4" t="s">
        <v>261</v>
      </c>
      <c r="C206" s="4" t="s">
        <v>262</v>
      </c>
      <c r="D206" s="4" t="s">
        <v>484</v>
      </c>
      <c r="E206" s="4" t="s">
        <v>460</v>
      </c>
      <c r="F206" s="6"/>
      <c r="G206" s="53">
        <f>'Прилож №7'!H158</f>
        <v>800</v>
      </c>
      <c r="H206" s="53">
        <f>'Прилож №7'!I158</f>
        <v>800</v>
      </c>
      <c r="I206" s="53">
        <f>'Прилож №7'!J158</f>
        <v>795.1</v>
      </c>
      <c r="J206" s="53">
        <f>'Прилож №7'!K158</f>
        <v>795.1</v>
      </c>
      <c r="K206" s="63"/>
    </row>
    <row r="207" spans="1:11" s="49" customFormat="1" ht="15">
      <c r="A207" s="2" t="s">
        <v>530</v>
      </c>
      <c r="B207" s="4" t="s">
        <v>261</v>
      </c>
      <c r="C207" s="4" t="s">
        <v>262</v>
      </c>
      <c r="D207" s="4" t="s">
        <v>528</v>
      </c>
      <c r="E207" s="4"/>
      <c r="F207" s="6"/>
      <c r="G207" s="53">
        <f>G208</f>
        <v>697.5</v>
      </c>
      <c r="H207" s="53">
        <f>H208</f>
        <v>697.5</v>
      </c>
      <c r="I207" s="53">
        <f>I208</f>
        <v>697.5</v>
      </c>
      <c r="J207" s="53">
        <f>J208</f>
        <v>697.5</v>
      </c>
      <c r="K207" s="63"/>
    </row>
    <row r="208" spans="1:11" s="49" customFormat="1" ht="46.5" customHeight="1">
      <c r="A208" s="2" t="str">
        <f>А140</f>
        <v>Долгосрочная целевая программа Московской области "Развитие субъектов малого и среднего предпринимательства в Московской области на 2013-2016 годы"</v>
      </c>
      <c r="B208" s="4" t="s">
        <v>261</v>
      </c>
      <c r="C208" s="4" t="s">
        <v>262</v>
      </c>
      <c r="D208" s="4" t="s">
        <v>565</v>
      </c>
      <c r="E208" s="4"/>
      <c r="F208" s="6"/>
      <c r="G208" s="53">
        <f>G209+G210</f>
        <v>697.5</v>
      </c>
      <c r="H208" s="53">
        <f>H209+H210</f>
        <v>697.5</v>
      </c>
      <c r="I208" s="53">
        <f>I209+I210</f>
        <v>697.5</v>
      </c>
      <c r="J208" s="53">
        <f>J209+J210</f>
        <v>697.5</v>
      </c>
      <c r="K208" s="63"/>
    </row>
    <row r="209" spans="1:11" s="49" customFormat="1" ht="29.25" hidden="1">
      <c r="A209" s="2" t="s">
        <v>431</v>
      </c>
      <c r="B209" s="4" t="s">
        <v>261</v>
      </c>
      <c r="C209" s="4" t="s">
        <v>262</v>
      </c>
      <c r="D209" s="4" t="s">
        <v>565</v>
      </c>
      <c r="E209" s="4" t="s">
        <v>421</v>
      </c>
      <c r="F209" s="6" t="s">
        <v>421</v>
      </c>
      <c r="G209" s="53">
        <f>'Прилож №7'!H161</f>
        <v>0</v>
      </c>
      <c r="H209" s="53">
        <f>'Прилож №7'!I161</f>
        <v>0</v>
      </c>
      <c r="I209" s="63"/>
      <c r="J209" s="63"/>
      <c r="K209" s="63"/>
    </row>
    <row r="210" spans="1:11" s="49" customFormat="1" ht="43.5">
      <c r="A210" s="2" t="s">
        <v>480</v>
      </c>
      <c r="B210" s="4" t="s">
        <v>261</v>
      </c>
      <c r="C210" s="4" t="s">
        <v>262</v>
      </c>
      <c r="D210" s="4" t="s">
        <v>565</v>
      </c>
      <c r="E210" s="4" t="s">
        <v>460</v>
      </c>
      <c r="F210" s="6"/>
      <c r="G210" s="53">
        <f>'Прилож №7'!H162</f>
        <v>697.5</v>
      </c>
      <c r="H210" s="53">
        <f>'Прилож №7'!I162</f>
        <v>697.5</v>
      </c>
      <c r="I210" s="53">
        <f>'Прилож №7'!J162</f>
        <v>697.5</v>
      </c>
      <c r="J210" s="53">
        <f>'Прилож №7'!K162</f>
        <v>697.5</v>
      </c>
      <c r="K210" s="63"/>
    </row>
    <row r="211" spans="1:11" s="49" customFormat="1" ht="15">
      <c r="A211" s="8" t="s">
        <v>223</v>
      </c>
      <c r="B211" s="4" t="s">
        <v>261</v>
      </c>
      <c r="C211" s="4" t="s">
        <v>262</v>
      </c>
      <c r="D211" s="4" t="s">
        <v>224</v>
      </c>
      <c r="E211" s="4"/>
      <c r="F211" s="6"/>
      <c r="G211" s="53">
        <f>G212+G215+G217</f>
        <v>4412.200000000001</v>
      </c>
      <c r="H211" s="53">
        <f>H212+H215+H217</f>
        <v>0</v>
      </c>
      <c r="I211" s="53">
        <f>I212+I215+I217</f>
        <v>4348.799999999999</v>
      </c>
      <c r="J211" s="53">
        <f>J212+J215+J217</f>
        <v>0</v>
      </c>
      <c r="K211" s="63"/>
    </row>
    <row r="212" spans="1:11" s="49" customFormat="1" ht="43.5">
      <c r="A212" s="2" t="s">
        <v>574</v>
      </c>
      <c r="B212" s="4" t="s">
        <v>261</v>
      </c>
      <c r="C212" s="4" t="s">
        <v>262</v>
      </c>
      <c r="D212" s="4" t="s">
        <v>493</v>
      </c>
      <c r="E212" s="4"/>
      <c r="F212" s="6"/>
      <c r="G212" s="53">
        <f>G213+G214</f>
        <v>1000</v>
      </c>
      <c r="H212" s="53">
        <f>H213+H214</f>
        <v>0</v>
      </c>
      <c r="I212" s="53">
        <f>I213+I214</f>
        <v>1000</v>
      </c>
      <c r="J212" s="53">
        <f>J213+J214</f>
        <v>0</v>
      </c>
      <c r="K212" s="63"/>
    </row>
    <row r="213" spans="1:11" s="49" customFormat="1" ht="29.25">
      <c r="A213" s="2" t="s">
        <v>431</v>
      </c>
      <c r="B213" s="4" t="s">
        <v>261</v>
      </c>
      <c r="C213" s="4" t="s">
        <v>262</v>
      </c>
      <c r="D213" s="4" t="s">
        <v>493</v>
      </c>
      <c r="E213" s="4" t="s">
        <v>421</v>
      </c>
      <c r="F213" s="6"/>
      <c r="G213" s="53">
        <f>'Прилож №7'!H165</f>
        <v>250</v>
      </c>
      <c r="H213" s="53">
        <f>'Прилож №7'!I165</f>
        <v>0</v>
      </c>
      <c r="I213" s="53">
        <f>'Прилож №7'!J165</f>
        <v>250</v>
      </c>
      <c r="J213" s="53">
        <f>'Прилож №7'!K165</f>
        <v>0</v>
      </c>
      <c r="K213" s="63"/>
    </row>
    <row r="214" spans="1:11" s="49" customFormat="1" ht="43.5">
      <c r="A214" s="2" t="s">
        <v>480</v>
      </c>
      <c r="B214" s="4" t="s">
        <v>261</v>
      </c>
      <c r="C214" s="4" t="s">
        <v>262</v>
      </c>
      <c r="D214" s="4" t="s">
        <v>493</v>
      </c>
      <c r="E214" s="4" t="s">
        <v>460</v>
      </c>
      <c r="F214" s="6"/>
      <c r="G214" s="53">
        <f>'Прилож №7'!H166</f>
        <v>750</v>
      </c>
      <c r="H214" s="53">
        <f>'Прилож №7'!I166</f>
        <v>0</v>
      </c>
      <c r="I214" s="53">
        <f>'Прилож №7'!J166</f>
        <v>750</v>
      </c>
      <c r="J214" s="53">
        <f>'Прилож №7'!K166</f>
        <v>0</v>
      </c>
      <c r="K214" s="63"/>
    </row>
    <row r="215" spans="1:11" ht="42.75">
      <c r="A215" s="7" t="s">
        <v>364</v>
      </c>
      <c r="B215" s="4" t="s">
        <v>261</v>
      </c>
      <c r="C215" s="4" t="s">
        <v>262</v>
      </c>
      <c r="D215" s="4" t="s">
        <v>291</v>
      </c>
      <c r="E215" s="4"/>
      <c r="F215" s="4"/>
      <c r="G215" s="53">
        <f>G216</f>
        <v>394</v>
      </c>
      <c r="H215" s="53">
        <f>H216</f>
        <v>0</v>
      </c>
      <c r="I215" s="53">
        <f>I216</f>
        <v>330.6</v>
      </c>
      <c r="J215" s="53">
        <f>J216</f>
        <v>0</v>
      </c>
      <c r="K215" s="83"/>
    </row>
    <row r="216" spans="1:11" ht="28.5">
      <c r="A216" s="2" t="s">
        <v>431</v>
      </c>
      <c r="B216" s="4" t="s">
        <v>261</v>
      </c>
      <c r="C216" s="4" t="s">
        <v>262</v>
      </c>
      <c r="D216" s="4" t="s">
        <v>291</v>
      </c>
      <c r="E216" s="4" t="s">
        <v>421</v>
      </c>
      <c r="F216" s="4"/>
      <c r="G216" s="53">
        <f>'Прилож №7'!H168</f>
        <v>394</v>
      </c>
      <c r="H216" s="53">
        <f>'Прилож №7'!I168</f>
        <v>0</v>
      </c>
      <c r="I216" s="53">
        <f>'Прилож №7'!J168</f>
        <v>330.6</v>
      </c>
      <c r="J216" s="53">
        <f>'Прилож №7'!K168</f>
        <v>0</v>
      </c>
      <c r="K216" s="83"/>
    </row>
    <row r="217" spans="1:11" ht="71.25">
      <c r="A217" s="7" t="s">
        <v>496</v>
      </c>
      <c r="B217" s="4" t="s">
        <v>261</v>
      </c>
      <c r="C217" s="4" t="s">
        <v>262</v>
      </c>
      <c r="D217" s="4" t="s">
        <v>497</v>
      </c>
      <c r="E217" s="4"/>
      <c r="F217" s="6"/>
      <c r="G217" s="53">
        <f>G218</f>
        <v>3018.2000000000003</v>
      </c>
      <c r="H217" s="53">
        <f>H218</f>
        <v>0</v>
      </c>
      <c r="I217" s="53">
        <f>I218</f>
        <v>3018.2</v>
      </c>
      <c r="J217" s="53">
        <f>J218</f>
        <v>0</v>
      </c>
      <c r="K217" s="83"/>
    </row>
    <row r="218" spans="1:11" ht="28.5">
      <c r="A218" s="2" t="s">
        <v>431</v>
      </c>
      <c r="B218" s="4" t="s">
        <v>261</v>
      </c>
      <c r="C218" s="4" t="s">
        <v>262</v>
      </c>
      <c r="D218" s="4" t="s">
        <v>497</v>
      </c>
      <c r="E218" s="4" t="s">
        <v>421</v>
      </c>
      <c r="F218" s="6" t="s">
        <v>421</v>
      </c>
      <c r="G218" s="53">
        <f>'Прилож №7'!H170</f>
        <v>3018.2000000000003</v>
      </c>
      <c r="H218" s="53">
        <f>'Прилож №7'!I170</f>
        <v>0</v>
      </c>
      <c r="I218" s="53">
        <f>'Прилож №7'!J170</f>
        <v>3018.2</v>
      </c>
      <c r="J218" s="53">
        <f>'Прилож №7'!K170</f>
        <v>0</v>
      </c>
      <c r="K218" s="83"/>
    </row>
    <row r="219" spans="1:11" ht="15">
      <c r="A219" s="11" t="s">
        <v>155</v>
      </c>
      <c r="B219" s="3" t="s">
        <v>269</v>
      </c>
      <c r="C219" s="3"/>
      <c r="D219" s="3"/>
      <c r="E219" s="3"/>
      <c r="F219" s="4"/>
      <c r="G219" s="48">
        <f>G220+G266+G244</f>
        <v>487305.6</v>
      </c>
      <c r="H219" s="48">
        <f>H220+H266+H244</f>
        <v>101783.2</v>
      </c>
      <c r="I219" s="48">
        <f>I220+I266+I244</f>
        <v>395628.39999999997</v>
      </c>
      <c r="J219" s="48">
        <f>J220+J266+J244</f>
        <v>74895</v>
      </c>
      <c r="K219" s="63">
        <f>I219/G219*100</f>
        <v>81.18691843475634</v>
      </c>
    </row>
    <row r="220" spans="1:11" ht="15">
      <c r="A220" s="11" t="s">
        <v>183</v>
      </c>
      <c r="B220" s="3" t="s">
        <v>269</v>
      </c>
      <c r="C220" s="3" t="s">
        <v>259</v>
      </c>
      <c r="D220" s="3"/>
      <c r="E220" s="3"/>
      <c r="F220" s="3"/>
      <c r="G220" s="48">
        <f>G235+G228+G223+G221+G232</f>
        <v>232279.49999999997</v>
      </c>
      <c r="H220" s="48">
        <f>H235+H228+H223+H221+H232</f>
        <v>89579.2</v>
      </c>
      <c r="I220" s="48">
        <f>I235+I228+I223+I221+I232</f>
        <v>144011.3</v>
      </c>
      <c r="J220" s="48">
        <f>J235+J228+J223+J221+J232</f>
        <v>62691.5</v>
      </c>
      <c r="K220" s="63">
        <f>I220/G220*100</f>
        <v>61.999143273513155</v>
      </c>
    </row>
    <row r="221" spans="1:11" ht="33.75" customHeight="1">
      <c r="A221" s="60" t="s">
        <v>625</v>
      </c>
      <c r="B221" s="4" t="s">
        <v>269</v>
      </c>
      <c r="C221" s="4" t="s">
        <v>259</v>
      </c>
      <c r="D221" s="4" t="s">
        <v>624</v>
      </c>
      <c r="E221" s="4"/>
      <c r="F221" s="4"/>
      <c r="G221" s="53">
        <f>G222</f>
        <v>106.9</v>
      </c>
      <c r="H221" s="53">
        <f>H222</f>
        <v>106.9</v>
      </c>
      <c r="I221" s="53">
        <f>I222</f>
        <v>16.5</v>
      </c>
      <c r="J221" s="53">
        <f>J222</f>
        <v>16.5</v>
      </c>
      <c r="K221" s="83"/>
    </row>
    <row r="222" spans="1:11" ht="77.25" customHeight="1">
      <c r="A222" s="2" t="s">
        <v>626</v>
      </c>
      <c r="B222" s="4" t="s">
        <v>269</v>
      </c>
      <c r="C222" s="4" t="s">
        <v>259</v>
      </c>
      <c r="D222" s="4" t="s">
        <v>624</v>
      </c>
      <c r="E222" s="4" t="s">
        <v>421</v>
      </c>
      <c r="F222" s="4"/>
      <c r="G222" s="53">
        <f>'Прилож №7'!H757</f>
        <v>106.9</v>
      </c>
      <c r="H222" s="53">
        <f>'Прилож №7'!I757</f>
        <v>106.9</v>
      </c>
      <c r="I222" s="53">
        <f>'Прилож №7'!J757</f>
        <v>16.5</v>
      </c>
      <c r="J222" s="53">
        <f>'Прилож №7'!K757</f>
        <v>16.5</v>
      </c>
      <c r="K222" s="83"/>
    </row>
    <row r="223" spans="1:11" ht="28.5">
      <c r="A223" s="2" t="s">
        <v>130</v>
      </c>
      <c r="B223" s="4" t="s">
        <v>269</v>
      </c>
      <c r="C223" s="4" t="s">
        <v>259</v>
      </c>
      <c r="D223" s="4" t="s">
        <v>134</v>
      </c>
      <c r="E223" s="4"/>
      <c r="F223" s="6"/>
      <c r="G223" s="53">
        <f>G224+G226</f>
        <v>177868.6</v>
      </c>
      <c r="H223" s="53">
        <f>H224+H226</f>
        <v>89144.5</v>
      </c>
      <c r="I223" s="53">
        <f>I224+I226</f>
        <v>96345.5</v>
      </c>
      <c r="J223" s="53">
        <f>J224+J226</f>
        <v>62624.5</v>
      </c>
      <c r="K223" s="83"/>
    </row>
    <row r="224" spans="1:11" ht="57">
      <c r="A224" s="2" t="s">
        <v>140</v>
      </c>
      <c r="B224" s="4" t="s">
        <v>269</v>
      </c>
      <c r="C224" s="4" t="s">
        <v>259</v>
      </c>
      <c r="D224" s="4" t="s">
        <v>135</v>
      </c>
      <c r="E224" s="4"/>
      <c r="F224" s="6"/>
      <c r="G224" s="53">
        <f>G225</f>
        <v>63998.3</v>
      </c>
      <c r="H224" s="53">
        <f>H225</f>
        <v>49372.3</v>
      </c>
      <c r="I224" s="53">
        <f>I225</f>
        <v>34684.3</v>
      </c>
      <c r="J224" s="53">
        <f>J225</f>
        <v>34684.3</v>
      </c>
      <c r="K224" s="83"/>
    </row>
    <row r="225" spans="1:11" ht="42.75">
      <c r="A225" s="2" t="s">
        <v>480</v>
      </c>
      <c r="B225" s="4" t="s">
        <v>269</v>
      </c>
      <c r="C225" s="4" t="s">
        <v>259</v>
      </c>
      <c r="D225" s="4" t="s">
        <v>136</v>
      </c>
      <c r="E225" s="4" t="s">
        <v>460</v>
      </c>
      <c r="F225" s="6" t="s">
        <v>460</v>
      </c>
      <c r="G225" s="53">
        <f>'Прилож №7'!H175</f>
        <v>63998.3</v>
      </c>
      <c r="H225" s="53">
        <f>'Прилож №7'!I175</f>
        <v>49372.3</v>
      </c>
      <c r="I225" s="53">
        <f>'Прилож №7'!J175</f>
        <v>34684.3</v>
      </c>
      <c r="J225" s="53">
        <f>'Прилож №7'!K175</f>
        <v>34684.3</v>
      </c>
      <c r="K225" s="83"/>
    </row>
    <row r="226" spans="1:11" ht="28.5">
      <c r="A226" s="2" t="s">
        <v>137</v>
      </c>
      <c r="B226" s="4" t="s">
        <v>269</v>
      </c>
      <c r="C226" s="4" t="s">
        <v>259</v>
      </c>
      <c r="D226" s="4" t="s">
        <v>138</v>
      </c>
      <c r="E226" s="4"/>
      <c r="F226" s="6"/>
      <c r="G226" s="53">
        <f>G227</f>
        <v>113870.3</v>
      </c>
      <c r="H226" s="53">
        <f>H227</f>
        <v>39772.2</v>
      </c>
      <c r="I226" s="53">
        <f>I227</f>
        <v>61661.2</v>
      </c>
      <c r="J226" s="53">
        <f>J227</f>
        <v>27940.2</v>
      </c>
      <c r="K226" s="83"/>
    </row>
    <row r="227" spans="1:11" ht="42.75">
      <c r="A227" s="2" t="s">
        <v>480</v>
      </c>
      <c r="B227" s="4" t="s">
        <v>269</v>
      </c>
      <c r="C227" s="4" t="s">
        <v>259</v>
      </c>
      <c r="D227" s="4" t="s">
        <v>139</v>
      </c>
      <c r="E227" s="4" t="s">
        <v>460</v>
      </c>
      <c r="F227" s="6" t="s">
        <v>460</v>
      </c>
      <c r="G227" s="53">
        <f>'Прилож №7'!H178</f>
        <v>113870.3</v>
      </c>
      <c r="H227" s="53">
        <f>'Прилож №7'!I178</f>
        <v>39772.2</v>
      </c>
      <c r="I227" s="53">
        <f>'Прилож №7'!J178</f>
        <v>61661.2</v>
      </c>
      <c r="J227" s="53">
        <f>'Прилож №7'!K178</f>
        <v>27940.2</v>
      </c>
      <c r="K227" s="83"/>
    </row>
    <row r="228" spans="1:11" ht="14.25">
      <c r="A228" s="8" t="s">
        <v>387</v>
      </c>
      <c r="B228" s="4" t="s">
        <v>269</v>
      </c>
      <c r="C228" s="4" t="s">
        <v>259</v>
      </c>
      <c r="D228" s="4" t="s">
        <v>384</v>
      </c>
      <c r="E228" s="4"/>
      <c r="F228" s="6"/>
      <c r="G228" s="53">
        <f>G229</f>
        <v>16777.1</v>
      </c>
      <c r="H228" s="53">
        <f>H229</f>
        <v>0</v>
      </c>
      <c r="I228" s="53">
        <f>I229</f>
        <v>10466.1</v>
      </c>
      <c r="J228" s="53">
        <f>J229</f>
        <v>0</v>
      </c>
      <c r="K228" s="83"/>
    </row>
    <row r="229" spans="1:11" ht="14.25">
      <c r="A229" s="8" t="s">
        <v>390</v>
      </c>
      <c r="B229" s="4" t="s">
        <v>269</v>
      </c>
      <c r="C229" s="4" t="s">
        <v>259</v>
      </c>
      <c r="D229" s="4" t="s">
        <v>391</v>
      </c>
      <c r="E229" s="4"/>
      <c r="F229" s="6"/>
      <c r="G229" s="53">
        <f>G231+G230</f>
        <v>16777.1</v>
      </c>
      <c r="H229" s="53">
        <f>H231+H230</f>
        <v>0</v>
      </c>
      <c r="I229" s="53">
        <f>I231+I230</f>
        <v>10466.1</v>
      </c>
      <c r="J229" s="53">
        <f>J231+J230</f>
        <v>0</v>
      </c>
      <c r="K229" s="83"/>
    </row>
    <row r="230" spans="1:11" ht="28.5">
      <c r="A230" s="7" t="s">
        <v>432</v>
      </c>
      <c r="B230" s="4" t="s">
        <v>269</v>
      </c>
      <c r="C230" s="4" t="s">
        <v>259</v>
      </c>
      <c r="D230" s="4" t="s">
        <v>391</v>
      </c>
      <c r="E230" s="4" t="s">
        <v>424</v>
      </c>
      <c r="F230" s="6"/>
      <c r="G230" s="53">
        <f>'Прилож №7'!H182</f>
        <v>11936.1</v>
      </c>
      <c r="H230" s="53">
        <f>'Прилож №7'!I182</f>
        <v>0</v>
      </c>
      <c r="I230" s="53">
        <f>'Прилож №7'!J182</f>
        <v>5796.1</v>
      </c>
      <c r="J230" s="53">
        <f>'Прилож №7'!K182</f>
        <v>0</v>
      </c>
      <c r="K230" s="83"/>
    </row>
    <row r="231" spans="1:11" ht="28.5">
      <c r="A231" s="2" t="s">
        <v>431</v>
      </c>
      <c r="B231" s="4" t="s">
        <v>269</v>
      </c>
      <c r="C231" s="4" t="s">
        <v>259</v>
      </c>
      <c r="D231" s="4" t="s">
        <v>391</v>
      </c>
      <c r="E231" s="4" t="s">
        <v>421</v>
      </c>
      <c r="F231" s="6"/>
      <c r="G231" s="53">
        <f>'Прилож №7'!H760+'Прилож №7'!H183</f>
        <v>4841</v>
      </c>
      <c r="H231" s="53">
        <f>'Прилож №7'!I760+'Прилож №7'!I183</f>
        <v>0</v>
      </c>
      <c r="I231" s="53">
        <f>'Прилож №7'!J760+'Прилож №7'!J183</f>
        <v>4670</v>
      </c>
      <c r="J231" s="53">
        <f>'Прилож №7'!K760+'Прилож №7'!K183</f>
        <v>0</v>
      </c>
      <c r="K231" s="83"/>
    </row>
    <row r="232" spans="1:11" ht="14.25">
      <c r="A232" s="2" t="s">
        <v>530</v>
      </c>
      <c r="B232" s="4" t="s">
        <v>630</v>
      </c>
      <c r="C232" s="4" t="s">
        <v>259</v>
      </c>
      <c r="D232" s="4" t="s">
        <v>528</v>
      </c>
      <c r="E232" s="4"/>
      <c r="F232" s="6"/>
      <c r="G232" s="53">
        <f>G233</f>
        <v>327.8</v>
      </c>
      <c r="H232" s="53">
        <f aca="true" t="shared" si="12" ref="H232:J233">H233</f>
        <v>327.8</v>
      </c>
      <c r="I232" s="53">
        <f t="shared" si="12"/>
        <v>50.5</v>
      </c>
      <c r="J232" s="53">
        <f t="shared" si="12"/>
        <v>50.5</v>
      </c>
      <c r="K232" s="83"/>
    </row>
    <row r="233" spans="1:11" ht="42.75">
      <c r="A233" s="2" t="s">
        <v>627</v>
      </c>
      <c r="B233" s="4" t="s">
        <v>269</v>
      </c>
      <c r="C233" s="4" t="s">
        <v>259</v>
      </c>
      <c r="D233" s="4" t="s">
        <v>628</v>
      </c>
      <c r="E233" s="4"/>
      <c r="F233" s="6"/>
      <c r="G233" s="53">
        <f>G234</f>
        <v>327.8</v>
      </c>
      <c r="H233" s="53">
        <f t="shared" si="12"/>
        <v>327.8</v>
      </c>
      <c r="I233" s="53">
        <f t="shared" si="12"/>
        <v>50.5</v>
      </c>
      <c r="J233" s="53">
        <f t="shared" si="12"/>
        <v>50.5</v>
      </c>
      <c r="K233" s="83"/>
    </row>
    <row r="234" spans="1:11" ht="99.75">
      <c r="A234" s="60" t="s">
        <v>629</v>
      </c>
      <c r="B234" s="4" t="s">
        <v>269</v>
      </c>
      <c r="C234" s="4" t="s">
        <v>259</v>
      </c>
      <c r="D234" s="4" t="s">
        <v>628</v>
      </c>
      <c r="E234" s="4" t="s">
        <v>421</v>
      </c>
      <c r="F234" s="6"/>
      <c r="G234" s="53">
        <f>'Прилож №7'!H763</f>
        <v>327.8</v>
      </c>
      <c r="H234" s="53">
        <f>'Прилож №7'!I763</f>
        <v>327.8</v>
      </c>
      <c r="I234" s="53">
        <f>'Прилож №7'!J763</f>
        <v>50.5</v>
      </c>
      <c r="J234" s="53">
        <f>'Прилож №7'!K763</f>
        <v>50.5</v>
      </c>
      <c r="K234" s="83"/>
    </row>
    <row r="235" spans="1:11" ht="15">
      <c r="A235" s="8" t="s">
        <v>223</v>
      </c>
      <c r="B235" s="4" t="s">
        <v>269</v>
      </c>
      <c r="C235" s="4" t="s">
        <v>259</v>
      </c>
      <c r="D235" s="4" t="s">
        <v>224</v>
      </c>
      <c r="E235" s="4"/>
      <c r="F235" s="3"/>
      <c r="G235" s="53">
        <f>G237+G241+G238</f>
        <v>37199.1</v>
      </c>
      <c r="H235" s="53">
        <f>H237+H241+H238</f>
        <v>0</v>
      </c>
      <c r="I235" s="53">
        <f>I237+I241+I238</f>
        <v>37132.700000000004</v>
      </c>
      <c r="J235" s="53">
        <f>J237+J241+J238</f>
        <v>0</v>
      </c>
      <c r="K235" s="83"/>
    </row>
    <row r="236" spans="1:11" ht="57" customHeight="1">
      <c r="A236" s="54" t="s">
        <v>347</v>
      </c>
      <c r="B236" s="4" t="s">
        <v>269</v>
      </c>
      <c r="C236" s="4" t="s">
        <v>259</v>
      </c>
      <c r="D236" s="4" t="s">
        <v>370</v>
      </c>
      <c r="E236" s="4"/>
      <c r="F236" s="3"/>
      <c r="G236" s="53">
        <f>G237</f>
        <v>219.3</v>
      </c>
      <c r="H236" s="53">
        <f>H237</f>
        <v>0</v>
      </c>
      <c r="I236" s="53">
        <f>I237</f>
        <v>219.3</v>
      </c>
      <c r="J236" s="53">
        <f>J237</f>
        <v>0</v>
      </c>
      <c r="K236" s="83"/>
    </row>
    <row r="237" spans="1:11" ht="29.25">
      <c r="A237" s="7" t="s">
        <v>432</v>
      </c>
      <c r="B237" s="4" t="s">
        <v>269</v>
      </c>
      <c r="C237" s="4" t="s">
        <v>259</v>
      </c>
      <c r="D237" s="4" t="s">
        <v>370</v>
      </c>
      <c r="E237" s="4" t="s">
        <v>424</v>
      </c>
      <c r="F237" s="3"/>
      <c r="G237" s="53">
        <f>'Прилож №7'!H187</f>
        <v>219.3</v>
      </c>
      <c r="H237" s="53">
        <f>'Прилож №7'!I187</f>
        <v>0</v>
      </c>
      <c r="I237" s="53">
        <f>'Прилож №7'!J187</f>
        <v>219.3</v>
      </c>
      <c r="J237" s="53">
        <f>'Прилож №7'!K187</f>
        <v>0</v>
      </c>
      <c r="K237" s="83"/>
    </row>
    <row r="238" spans="1:11" ht="42.75">
      <c r="A238" s="55" t="s">
        <v>369</v>
      </c>
      <c r="B238" s="4" t="s">
        <v>269</v>
      </c>
      <c r="C238" s="4" t="s">
        <v>259</v>
      </c>
      <c r="D238" s="4" t="s">
        <v>350</v>
      </c>
      <c r="E238" s="4"/>
      <c r="F238" s="3"/>
      <c r="G238" s="53">
        <f>G240+G239</f>
        <v>6190.1</v>
      </c>
      <c r="H238" s="53">
        <f>H240+H239</f>
        <v>0</v>
      </c>
      <c r="I238" s="53">
        <f>I240+I239</f>
        <v>6182.1</v>
      </c>
      <c r="J238" s="53">
        <f>J240+J239</f>
        <v>0</v>
      </c>
      <c r="K238" s="83"/>
    </row>
    <row r="239" spans="1:11" ht="28.5">
      <c r="A239" s="7" t="s">
        <v>430</v>
      </c>
      <c r="B239" s="4" t="s">
        <v>269</v>
      </c>
      <c r="C239" s="4" t="s">
        <v>259</v>
      </c>
      <c r="D239" s="4" t="s">
        <v>350</v>
      </c>
      <c r="E239" s="4" t="s">
        <v>424</v>
      </c>
      <c r="F239" s="6" t="s">
        <v>424</v>
      </c>
      <c r="G239" s="53">
        <f>'Прилож №7'!H189</f>
        <v>8.5</v>
      </c>
      <c r="H239" s="53">
        <f>'Прилож №7'!I189</f>
        <v>0</v>
      </c>
      <c r="I239" s="53">
        <f>'Прилож №7'!J189</f>
        <v>8.5</v>
      </c>
      <c r="J239" s="53">
        <f>'Прилож №7'!K189</f>
        <v>0</v>
      </c>
      <c r="K239" s="83"/>
    </row>
    <row r="240" spans="1:11" ht="42.75">
      <c r="A240" s="56" t="s">
        <v>461</v>
      </c>
      <c r="B240" s="4" t="s">
        <v>269</v>
      </c>
      <c r="C240" s="4" t="s">
        <v>259</v>
      </c>
      <c r="D240" s="4" t="s">
        <v>350</v>
      </c>
      <c r="E240" s="4" t="s">
        <v>460</v>
      </c>
      <c r="F240" s="4"/>
      <c r="G240" s="53">
        <f>'Прилож №7'!H190</f>
        <v>6181.6</v>
      </c>
      <c r="H240" s="53">
        <f>'Прилож №7'!I190</f>
        <v>0</v>
      </c>
      <c r="I240" s="53">
        <f>'Прилож №7'!J190</f>
        <v>6173.6</v>
      </c>
      <c r="J240" s="53">
        <f>'Прилож №7'!K190</f>
        <v>0</v>
      </c>
      <c r="K240" s="83"/>
    </row>
    <row r="241" spans="1:11" ht="57">
      <c r="A241" s="2" t="s">
        <v>512</v>
      </c>
      <c r="B241" s="4" t="s">
        <v>269</v>
      </c>
      <c r="C241" s="4" t="s">
        <v>259</v>
      </c>
      <c r="D241" s="4" t="s">
        <v>462</v>
      </c>
      <c r="E241" s="4"/>
      <c r="F241" s="6"/>
      <c r="G241" s="53">
        <f>G242+G243</f>
        <v>30789.7</v>
      </c>
      <c r="H241" s="53">
        <f>H242+H243</f>
        <v>0</v>
      </c>
      <c r="I241" s="53">
        <f>I242+I243</f>
        <v>30731.300000000003</v>
      </c>
      <c r="J241" s="53">
        <f>J242+J243</f>
        <v>0</v>
      </c>
      <c r="K241" s="83"/>
    </row>
    <row r="242" spans="1:11" ht="28.5">
      <c r="A242" s="7" t="s">
        <v>432</v>
      </c>
      <c r="B242" s="4" t="s">
        <v>269</v>
      </c>
      <c r="C242" s="4" t="s">
        <v>259</v>
      </c>
      <c r="D242" s="4" t="s">
        <v>462</v>
      </c>
      <c r="E242" s="4" t="s">
        <v>424</v>
      </c>
      <c r="F242" s="6" t="s">
        <v>294</v>
      </c>
      <c r="G242" s="53">
        <f>'Прилож №7'!H193+'Прилож №7'!H192</f>
        <v>30682.8</v>
      </c>
      <c r="H242" s="53">
        <f>'Прилож №7'!I193+'Прилож №7'!I192</f>
        <v>0</v>
      </c>
      <c r="I242" s="53">
        <f>'Прилож №7'!J193+'Прилож №7'!J192</f>
        <v>30645.800000000003</v>
      </c>
      <c r="J242" s="53">
        <f>'Прилож №7'!K193+'Прилож №7'!K192</f>
        <v>0</v>
      </c>
      <c r="K242" s="83"/>
    </row>
    <row r="243" spans="1:11" ht="43.5">
      <c r="A243" s="47" t="s">
        <v>228</v>
      </c>
      <c r="B243" s="4" t="s">
        <v>269</v>
      </c>
      <c r="C243" s="4" t="s">
        <v>259</v>
      </c>
      <c r="D243" s="4" t="s">
        <v>610</v>
      </c>
      <c r="E243" s="4" t="s">
        <v>227</v>
      </c>
      <c r="F243" s="6"/>
      <c r="G243" s="53">
        <f>'Прилож №7'!H194</f>
        <v>106.9</v>
      </c>
      <c r="H243" s="53">
        <f>'Прилож №7'!I194</f>
        <v>0</v>
      </c>
      <c r="I243" s="53">
        <f>'Прилож №7'!J194</f>
        <v>85.5</v>
      </c>
      <c r="J243" s="53">
        <f>'Прилож №7'!K194</f>
        <v>0</v>
      </c>
      <c r="K243" s="83"/>
    </row>
    <row r="244" spans="1:11" ht="15">
      <c r="A244" s="11" t="s">
        <v>356</v>
      </c>
      <c r="B244" s="3" t="s">
        <v>269</v>
      </c>
      <c r="C244" s="3" t="s">
        <v>260</v>
      </c>
      <c r="D244" s="3"/>
      <c r="E244" s="3"/>
      <c r="F244" s="5" t="s">
        <v>175</v>
      </c>
      <c r="G244" s="48">
        <f>G263+G254+G245</f>
        <v>177604.5</v>
      </c>
      <c r="H244" s="48">
        <f>H263+H254+H245</f>
        <v>12064</v>
      </c>
      <c r="I244" s="48">
        <f>I263+I254+I245</f>
        <v>177603.8</v>
      </c>
      <c r="J244" s="48">
        <f>J263+J254+J245</f>
        <v>12063.5</v>
      </c>
      <c r="K244" s="63">
        <f>I244/G244*100</f>
        <v>99.99960586584236</v>
      </c>
    </row>
    <row r="245" spans="1:11" ht="15">
      <c r="A245" s="8" t="s">
        <v>605</v>
      </c>
      <c r="B245" s="4" t="s">
        <v>269</v>
      </c>
      <c r="C245" s="4" t="s">
        <v>260</v>
      </c>
      <c r="D245" s="4" t="s">
        <v>603</v>
      </c>
      <c r="E245" s="3"/>
      <c r="F245" s="3"/>
      <c r="G245" s="53">
        <f>G246</f>
        <v>100456.9</v>
      </c>
      <c r="H245" s="53">
        <f>H246</f>
        <v>0</v>
      </c>
      <c r="I245" s="53">
        <f>I246</f>
        <v>100456.8</v>
      </c>
      <c r="J245" s="53">
        <f>J246</f>
        <v>0</v>
      </c>
      <c r="K245" s="63"/>
    </row>
    <row r="246" spans="1:11" ht="15">
      <c r="A246" s="8" t="s">
        <v>606</v>
      </c>
      <c r="B246" s="4" t="s">
        <v>269</v>
      </c>
      <c r="C246" s="4" t="s">
        <v>260</v>
      </c>
      <c r="D246" s="4" t="s">
        <v>604</v>
      </c>
      <c r="E246" s="3"/>
      <c r="F246" s="3"/>
      <c r="G246" s="53">
        <f>G247+G249+G252+G251</f>
        <v>100456.9</v>
      </c>
      <c r="H246" s="53">
        <f>H247+H249+H252+H251</f>
        <v>0</v>
      </c>
      <c r="I246" s="53">
        <f>I247+I249+I252+I251</f>
        <v>100456.8</v>
      </c>
      <c r="J246" s="53">
        <f>J247+J249+J252+J251</f>
        <v>0</v>
      </c>
      <c r="K246" s="83"/>
    </row>
    <row r="247" spans="1:11" ht="28.5">
      <c r="A247" s="2" t="s">
        <v>431</v>
      </c>
      <c r="B247" s="4" t="s">
        <v>269</v>
      </c>
      <c r="C247" s="4" t="s">
        <v>260</v>
      </c>
      <c r="D247" s="4" t="s">
        <v>604</v>
      </c>
      <c r="E247" s="4" t="s">
        <v>421</v>
      </c>
      <c r="F247" s="4" t="s">
        <v>421</v>
      </c>
      <c r="G247" s="53">
        <f>'Прилож №7'!H198</f>
        <v>27.6</v>
      </c>
      <c r="H247" s="53">
        <f>'Прилож №7'!I198</f>
        <v>0</v>
      </c>
      <c r="I247" s="53">
        <f>'Прилож №7'!J198</f>
        <v>27.5</v>
      </c>
      <c r="J247" s="53">
        <f>'Прилож №7'!K198</f>
        <v>0</v>
      </c>
      <c r="K247" s="83"/>
    </row>
    <row r="248" spans="1:11" ht="14.25">
      <c r="A248" s="2" t="s">
        <v>580</v>
      </c>
      <c r="B248" s="4" t="s">
        <v>269</v>
      </c>
      <c r="C248" s="4" t="s">
        <v>260</v>
      </c>
      <c r="D248" s="4" t="s">
        <v>604</v>
      </c>
      <c r="E248" s="4" t="s">
        <v>108</v>
      </c>
      <c r="F248" s="4"/>
      <c r="G248" s="53">
        <f>G249+G250</f>
        <v>40429.299999999996</v>
      </c>
      <c r="H248" s="53">
        <f>H249+H250</f>
        <v>0</v>
      </c>
      <c r="I248" s="53">
        <f>I249+I250</f>
        <v>40429.299999999996</v>
      </c>
      <c r="J248" s="53">
        <f>J249+J250</f>
        <v>0</v>
      </c>
      <c r="K248" s="83"/>
    </row>
    <row r="249" spans="1:11" ht="42.75">
      <c r="A249" s="56" t="s">
        <v>461</v>
      </c>
      <c r="B249" s="4" t="s">
        <v>269</v>
      </c>
      <c r="C249" s="4" t="s">
        <v>260</v>
      </c>
      <c r="D249" s="4" t="s">
        <v>604</v>
      </c>
      <c r="E249" s="4" t="s">
        <v>460</v>
      </c>
      <c r="F249" s="4"/>
      <c r="G249" s="53">
        <f>'Прилож №7'!H200</f>
        <v>40217.1</v>
      </c>
      <c r="H249" s="53">
        <f>'Прилож №7'!I200</f>
        <v>0</v>
      </c>
      <c r="I249" s="53">
        <f>'Прилож №7'!J200</f>
        <v>40217.1</v>
      </c>
      <c r="J249" s="53">
        <f>'Прилож №7'!K200</f>
        <v>0</v>
      </c>
      <c r="K249" s="83"/>
    </row>
    <row r="250" spans="1:11" ht="14.25">
      <c r="A250" s="2" t="s">
        <v>581</v>
      </c>
      <c r="B250" s="4" t="s">
        <v>269</v>
      </c>
      <c r="C250" s="4" t="s">
        <v>260</v>
      </c>
      <c r="D250" s="4" t="s">
        <v>604</v>
      </c>
      <c r="E250" s="4" t="s">
        <v>579</v>
      </c>
      <c r="F250" s="4"/>
      <c r="G250" s="53">
        <f>G251</f>
        <v>212.2</v>
      </c>
      <c r="H250" s="53">
        <f>H251</f>
        <v>0</v>
      </c>
      <c r="I250" s="53">
        <f>I251</f>
        <v>212.2</v>
      </c>
      <c r="J250" s="53">
        <f>J251</f>
        <v>0</v>
      </c>
      <c r="K250" s="83"/>
    </row>
    <row r="251" spans="1:11" ht="14.25">
      <c r="A251" s="56" t="s">
        <v>582</v>
      </c>
      <c r="B251" s="4" t="s">
        <v>269</v>
      </c>
      <c r="C251" s="4" t="s">
        <v>260</v>
      </c>
      <c r="D251" s="4" t="s">
        <v>604</v>
      </c>
      <c r="E251" s="4" t="s">
        <v>578</v>
      </c>
      <c r="F251" s="4"/>
      <c r="G251" s="53">
        <f>'Прилож №7'!H202</f>
        <v>212.2</v>
      </c>
      <c r="H251" s="53">
        <f>'Прилож №7'!I202</f>
        <v>0</v>
      </c>
      <c r="I251" s="53">
        <f>'Прилож №7'!J202</f>
        <v>212.2</v>
      </c>
      <c r="J251" s="53">
        <f>'Прилож №7'!K202</f>
        <v>0</v>
      </c>
      <c r="K251" s="83"/>
    </row>
    <row r="252" spans="1:11" ht="28.5">
      <c r="A252" s="2" t="s">
        <v>439</v>
      </c>
      <c r="B252" s="4" t="s">
        <v>269</v>
      </c>
      <c r="C252" s="4" t="s">
        <v>260</v>
      </c>
      <c r="D252" s="4" t="s">
        <v>438</v>
      </c>
      <c r="E252" s="4"/>
      <c r="F252" s="4"/>
      <c r="G252" s="53">
        <f>G253</f>
        <v>60000</v>
      </c>
      <c r="H252" s="53">
        <f>H253</f>
        <v>0</v>
      </c>
      <c r="I252" s="53">
        <f>I253</f>
        <v>60000</v>
      </c>
      <c r="J252" s="53">
        <f>J253</f>
        <v>0</v>
      </c>
      <c r="K252" s="83"/>
    </row>
    <row r="253" spans="1:11" ht="14.25">
      <c r="A253" s="2" t="s">
        <v>426</v>
      </c>
      <c r="B253" s="4" t="s">
        <v>269</v>
      </c>
      <c r="C253" s="4" t="s">
        <v>260</v>
      </c>
      <c r="D253" s="4" t="s">
        <v>438</v>
      </c>
      <c r="E253" s="4" t="s">
        <v>425</v>
      </c>
      <c r="F253" s="4"/>
      <c r="G253" s="53">
        <f>'Прилож №7'!H767</f>
        <v>60000</v>
      </c>
      <c r="H253" s="53">
        <f>'Прилож №7'!I767</f>
        <v>0</v>
      </c>
      <c r="I253" s="53">
        <f>'Прилож №7'!J767</f>
        <v>60000</v>
      </c>
      <c r="J253" s="53">
        <f>'Прилож №7'!K767</f>
        <v>0</v>
      </c>
      <c r="K253" s="83"/>
    </row>
    <row r="254" spans="1:11" ht="15">
      <c r="A254" s="8" t="s">
        <v>530</v>
      </c>
      <c r="B254" s="4" t="s">
        <v>269</v>
      </c>
      <c r="C254" s="4" t="s">
        <v>260</v>
      </c>
      <c r="D254" s="4" t="s">
        <v>528</v>
      </c>
      <c r="E254" s="3"/>
      <c r="F254" s="5"/>
      <c r="G254" s="53">
        <f>G255+G260</f>
        <v>53590.5</v>
      </c>
      <c r="H254" s="53">
        <f>H255+H260</f>
        <v>12064</v>
      </c>
      <c r="I254" s="53">
        <f>I255+I260</f>
        <v>53590</v>
      </c>
      <c r="J254" s="53">
        <f>J255+J260</f>
        <v>12063.5</v>
      </c>
      <c r="K254" s="83"/>
    </row>
    <row r="255" spans="1:11" ht="29.25">
      <c r="A255" s="2" t="s">
        <v>556</v>
      </c>
      <c r="B255" s="4" t="s">
        <v>269</v>
      </c>
      <c r="C255" s="4" t="s">
        <v>260</v>
      </c>
      <c r="D255" s="4" t="s">
        <v>537</v>
      </c>
      <c r="E255" s="3"/>
      <c r="F255" s="5"/>
      <c r="G255" s="53">
        <f>G256+G258</f>
        <v>41526.5</v>
      </c>
      <c r="H255" s="53">
        <f>H256+H258</f>
        <v>0</v>
      </c>
      <c r="I255" s="53">
        <f>I256+I258</f>
        <v>41526.5</v>
      </c>
      <c r="J255" s="53">
        <f>J256+J258</f>
        <v>0</v>
      </c>
      <c r="K255" s="83"/>
    </row>
    <row r="256" spans="1:11" ht="29.25">
      <c r="A256" s="2" t="s">
        <v>557</v>
      </c>
      <c r="B256" s="4" t="s">
        <v>269</v>
      </c>
      <c r="C256" s="4" t="s">
        <v>260</v>
      </c>
      <c r="D256" s="4" t="s">
        <v>535</v>
      </c>
      <c r="E256" s="3"/>
      <c r="F256" s="5"/>
      <c r="G256" s="53">
        <f>G257</f>
        <v>720.2</v>
      </c>
      <c r="H256" s="53">
        <f>H257</f>
        <v>0</v>
      </c>
      <c r="I256" s="53">
        <f>I257</f>
        <v>720.2</v>
      </c>
      <c r="J256" s="53">
        <f>J257</f>
        <v>0</v>
      </c>
      <c r="K256" s="83"/>
    </row>
    <row r="257" spans="1:11" ht="72.75">
      <c r="A257" s="47" t="s">
        <v>229</v>
      </c>
      <c r="B257" s="4" t="s">
        <v>269</v>
      </c>
      <c r="C257" s="4" t="s">
        <v>260</v>
      </c>
      <c r="D257" s="4" t="s">
        <v>535</v>
      </c>
      <c r="E257" s="4" t="s">
        <v>227</v>
      </c>
      <c r="F257" s="5"/>
      <c r="G257" s="53">
        <f>'Прилож №7'!H206</f>
        <v>720.2</v>
      </c>
      <c r="H257" s="53">
        <f>'Прилож №7'!I206</f>
        <v>0</v>
      </c>
      <c r="I257" s="53">
        <f>'Прилож №7'!J206</f>
        <v>720.2</v>
      </c>
      <c r="J257" s="53">
        <f>'Прилож №7'!K206</f>
        <v>0</v>
      </c>
      <c r="K257" s="83"/>
    </row>
    <row r="258" spans="1:11" ht="29.25">
      <c r="A258" s="2" t="str">
        <f>'Прилож №7'!A207</f>
        <v> Мероприятия по комплексному развитию коммунальной инфраструктуры с целью организации теплоснабжения </v>
      </c>
      <c r="B258" s="4" t="s">
        <v>269</v>
      </c>
      <c r="C258" s="4" t="s">
        <v>260</v>
      </c>
      <c r="D258" s="4" t="s">
        <v>536</v>
      </c>
      <c r="E258" s="4"/>
      <c r="F258" s="5"/>
      <c r="G258" s="53">
        <f>G259</f>
        <v>40806.3</v>
      </c>
      <c r="H258" s="53">
        <f>H259</f>
        <v>0</v>
      </c>
      <c r="I258" s="53">
        <f>I259</f>
        <v>40806.3</v>
      </c>
      <c r="J258" s="53">
        <f>J259</f>
        <v>0</v>
      </c>
      <c r="K258" s="83"/>
    </row>
    <row r="259" spans="1:11" ht="29.25">
      <c r="A259" s="7" t="s">
        <v>432</v>
      </c>
      <c r="B259" s="4" t="s">
        <v>269</v>
      </c>
      <c r="C259" s="4" t="s">
        <v>260</v>
      </c>
      <c r="D259" s="4" t="s">
        <v>536</v>
      </c>
      <c r="E259" s="4" t="s">
        <v>424</v>
      </c>
      <c r="F259" s="5"/>
      <c r="G259" s="53">
        <f>'Прилож №7'!H208</f>
        <v>40806.3</v>
      </c>
      <c r="H259" s="53">
        <f>'Прилож №7'!I208</f>
        <v>0</v>
      </c>
      <c r="I259" s="53">
        <f>'Прилож №7'!J208</f>
        <v>40806.3</v>
      </c>
      <c r="J259" s="53">
        <f>'Прилож №7'!K208</f>
        <v>0</v>
      </c>
      <c r="K259" s="83"/>
    </row>
    <row r="260" spans="1:11" ht="42.75">
      <c r="A260" s="7" t="s">
        <v>564</v>
      </c>
      <c r="B260" s="4" t="s">
        <v>269</v>
      </c>
      <c r="C260" s="4" t="s">
        <v>260</v>
      </c>
      <c r="D260" s="4" t="s">
        <v>558</v>
      </c>
      <c r="E260" s="4"/>
      <c r="F260" s="4"/>
      <c r="G260" s="53">
        <f>G261</f>
        <v>12064</v>
      </c>
      <c r="H260" s="53">
        <f aca="true" t="shared" si="13" ref="H260:J261">H261</f>
        <v>12064</v>
      </c>
      <c r="I260" s="53">
        <f t="shared" si="13"/>
        <v>12063.5</v>
      </c>
      <c r="J260" s="53">
        <f t="shared" si="13"/>
        <v>12063.5</v>
      </c>
      <c r="K260" s="83"/>
    </row>
    <row r="261" spans="1:11" ht="42.75">
      <c r="A261" s="7" t="s">
        <v>515</v>
      </c>
      <c r="B261" s="4" t="s">
        <v>269</v>
      </c>
      <c r="C261" s="4" t="s">
        <v>260</v>
      </c>
      <c r="D261" s="4" t="s">
        <v>514</v>
      </c>
      <c r="E261" s="4"/>
      <c r="F261" s="4"/>
      <c r="G261" s="53">
        <f>G262</f>
        <v>12064</v>
      </c>
      <c r="H261" s="53">
        <f t="shared" si="13"/>
        <v>12064</v>
      </c>
      <c r="I261" s="53">
        <f t="shared" si="13"/>
        <v>12063.5</v>
      </c>
      <c r="J261" s="53">
        <f t="shared" si="13"/>
        <v>12063.5</v>
      </c>
      <c r="K261" s="83"/>
    </row>
    <row r="262" spans="1:11" ht="28.5">
      <c r="A262" s="7" t="s">
        <v>432</v>
      </c>
      <c r="B262" s="4" t="s">
        <v>269</v>
      </c>
      <c r="C262" s="4" t="s">
        <v>260</v>
      </c>
      <c r="D262" s="4" t="s">
        <v>514</v>
      </c>
      <c r="E262" s="4" t="s">
        <v>424</v>
      </c>
      <c r="F262" s="4" t="s">
        <v>424</v>
      </c>
      <c r="G262" s="53">
        <f>'Прилож №7'!H211</f>
        <v>12064</v>
      </c>
      <c r="H262" s="53">
        <f>'Прилож №7'!I211</f>
        <v>12064</v>
      </c>
      <c r="I262" s="53">
        <f>'Прилож №7'!J211</f>
        <v>12063.5</v>
      </c>
      <c r="J262" s="53">
        <f>'Прилож №7'!K211</f>
        <v>12063.5</v>
      </c>
      <c r="K262" s="83"/>
    </row>
    <row r="263" spans="1:11" ht="14.25">
      <c r="A263" s="8" t="s">
        <v>223</v>
      </c>
      <c r="B263" s="4" t="s">
        <v>269</v>
      </c>
      <c r="C263" s="4" t="s">
        <v>260</v>
      </c>
      <c r="D263" s="4" t="s">
        <v>224</v>
      </c>
      <c r="E263" s="4"/>
      <c r="F263" s="6"/>
      <c r="G263" s="53">
        <f>G264</f>
        <v>23557.1</v>
      </c>
      <c r="H263" s="53">
        <f aca="true" t="shared" si="14" ref="H263:J264">H264</f>
        <v>0</v>
      </c>
      <c r="I263" s="53">
        <f t="shared" si="14"/>
        <v>23557</v>
      </c>
      <c r="J263" s="53">
        <f t="shared" si="14"/>
        <v>0</v>
      </c>
      <c r="K263" s="83"/>
    </row>
    <row r="264" spans="1:11" ht="42.75">
      <c r="A264" s="7" t="s">
        <v>367</v>
      </c>
      <c r="B264" s="4" t="s">
        <v>269</v>
      </c>
      <c r="C264" s="4" t="s">
        <v>260</v>
      </c>
      <c r="D264" s="4" t="s">
        <v>348</v>
      </c>
      <c r="E264" s="4"/>
      <c r="F264" s="6"/>
      <c r="G264" s="53">
        <f>G265</f>
        <v>23557.1</v>
      </c>
      <c r="H264" s="53">
        <f t="shared" si="14"/>
        <v>0</v>
      </c>
      <c r="I264" s="53">
        <f t="shared" si="14"/>
        <v>23557</v>
      </c>
      <c r="J264" s="53">
        <f t="shared" si="14"/>
        <v>0</v>
      </c>
      <c r="K264" s="83"/>
    </row>
    <row r="265" spans="1:11" ht="28.5">
      <c r="A265" s="7" t="s">
        <v>432</v>
      </c>
      <c r="B265" s="4" t="s">
        <v>269</v>
      </c>
      <c r="C265" s="4" t="s">
        <v>260</v>
      </c>
      <c r="D265" s="4" t="s">
        <v>348</v>
      </c>
      <c r="E265" s="4" t="s">
        <v>424</v>
      </c>
      <c r="F265" s="6"/>
      <c r="G265" s="53">
        <f>'Прилож №7'!H214</f>
        <v>23557.1</v>
      </c>
      <c r="H265" s="53">
        <f>'Прилож №7'!I214</f>
        <v>0</v>
      </c>
      <c r="I265" s="53">
        <f>'Прилож №7'!J214</f>
        <v>23557</v>
      </c>
      <c r="J265" s="53">
        <f>'Прилож №7'!K214</f>
        <v>0</v>
      </c>
      <c r="K265" s="83"/>
    </row>
    <row r="266" spans="1:11" s="49" customFormat="1" ht="15">
      <c r="A266" s="11" t="s">
        <v>226</v>
      </c>
      <c r="B266" s="3" t="s">
        <v>269</v>
      </c>
      <c r="C266" s="3" t="s">
        <v>264</v>
      </c>
      <c r="D266" s="3"/>
      <c r="E266" s="3"/>
      <c r="F266" s="3"/>
      <c r="G266" s="48">
        <f>G267+G277+G281+G284</f>
        <v>77421.6</v>
      </c>
      <c r="H266" s="48">
        <f>H267+H277+H281+H284</f>
        <v>140</v>
      </c>
      <c r="I266" s="48">
        <f>I284+I267+I277+I281</f>
        <v>74013.3</v>
      </c>
      <c r="J266" s="48">
        <f>J284+J267+J277+J281</f>
        <v>140</v>
      </c>
      <c r="K266" s="63">
        <f>I266/G266*100</f>
        <v>95.5977401655352</v>
      </c>
    </row>
    <row r="267" spans="1:11" s="49" customFormat="1" ht="43.5">
      <c r="A267" s="2" t="s">
        <v>296</v>
      </c>
      <c r="B267" s="4" t="s">
        <v>269</v>
      </c>
      <c r="C267" s="4" t="s">
        <v>264</v>
      </c>
      <c r="D267" s="4" t="s">
        <v>293</v>
      </c>
      <c r="E267" s="3"/>
      <c r="F267" s="6"/>
      <c r="G267" s="53">
        <f>G268+G275+G276</f>
        <v>1636.7</v>
      </c>
      <c r="H267" s="53">
        <f>H268+H275+H276</f>
        <v>0</v>
      </c>
      <c r="I267" s="53">
        <f>I268+I275+I276</f>
        <v>1613.8</v>
      </c>
      <c r="J267" s="53">
        <f>J268+J275+J276</f>
        <v>0</v>
      </c>
      <c r="K267" s="63"/>
    </row>
    <row r="268" spans="1:11" s="49" customFormat="1" ht="15">
      <c r="A268" s="8" t="s">
        <v>157</v>
      </c>
      <c r="B268" s="4" t="s">
        <v>269</v>
      </c>
      <c r="C268" s="4" t="s">
        <v>264</v>
      </c>
      <c r="D268" s="4" t="s">
        <v>45</v>
      </c>
      <c r="E268" s="3"/>
      <c r="F268" s="6"/>
      <c r="G268" s="53">
        <f>G269+G271</f>
        <v>1625.9</v>
      </c>
      <c r="H268" s="53">
        <f>H269+H271</f>
        <v>0</v>
      </c>
      <c r="I268" s="53">
        <f>I269+I271</f>
        <v>1613.8</v>
      </c>
      <c r="J268" s="53">
        <f>J269+J271</f>
        <v>0</v>
      </c>
      <c r="K268" s="63"/>
    </row>
    <row r="269" spans="1:11" s="49" customFormat="1" ht="15">
      <c r="A269" s="8" t="s">
        <v>555</v>
      </c>
      <c r="B269" s="4" t="s">
        <v>269</v>
      </c>
      <c r="C269" s="4" t="s">
        <v>264</v>
      </c>
      <c r="D269" s="4" t="s">
        <v>45</v>
      </c>
      <c r="E269" s="6" t="s">
        <v>534</v>
      </c>
      <c r="F269" s="6" t="s">
        <v>534</v>
      </c>
      <c r="G269" s="53">
        <f>G270</f>
        <v>1085.3</v>
      </c>
      <c r="H269" s="53">
        <f>H270</f>
        <v>0</v>
      </c>
      <c r="I269" s="53">
        <f>I270</f>
        <v>1081.2</v>
      </c>
      <c r="J269" s="53">
        <f>J270</f>
        <v>0</v>
      </c>
      <c r="K269" s="63"/>
    </row>
    <row r="270" spans="1:11" s="49" customFormat="1" ht="15">
      <c r="A270" s="8" t="s">
        <v>415</v>
      </c>
      <c r="B270" s="4" t="s">
        <v>269</v>
      </c>
      <c r="C270" s="4" t="s">
        <v>264</v>
      </c>
      <c r="D270" s="4" t="s">
        <v>45</v>
      </c>
      <c r="E270" s="6" t="s">
        <v>443</v>
      </c>
      <c r="F270" s="6" t="s">
        <v>443</v>
      </c>
      <c r="G270" s="53">
        <f>'Прилож №7'!H219</f>
        <v>1085.3</v>
      </c>
      <c r="H270" s="53">
        <f>'Прилож №7'!I219</f>
        <v>0</v>
      </c>
      <c r="I270" s="53">
        <f>'Прилож №7'!J219</f>
        <v>1081.2</v>
      </c>
      <c r="J270" s="53">
        <f>'Прилож №7'!K219</f>
        <v>0</v>
      </c>
      <c r="K270" s="63"/>
    </row>
    <row r="271" spans="1:11" s="49" customFormat="1" ht="15">
      <c r="A271" s="8" t="s">
        <v>599</v>
      </c>
      <c r="B271" s="4" t="s">
        <v>269</v>
      </c>
      <c r="C271" s="4" t="s">
        <v>264</v>
      </c>
      <c r="D271" s="4" t="s">
        <v>45</v>
      </c>
      <c r="E271" s="6" t="s">
        <v>526</v>
      </c>
      <c r="F271" s="6"/>
      <c r="G271" s="53">
        <f>G272+G273</f>
        <v>540.6</v>
      </c>
      <c r="H271" s="53">
        <f>H272+H273</f>
        <v>0</v>
      </c>
      <c r="I271" s="53">
        <f>I272+I273</f>
        <v>532.5999999999999</v>
      </c>
      <c r="J271" s="53">
        <f>J272+J273</f>
        <v>0</v>
      </c>
      <c r="K271" s="63"/>
    </row>
    <row r="272" spans="1:11" s="49" customFormat="1" ht="29.25">
      <c r="A272" s="2" t="s">
        <v>440</v>
      </c>
      <c r="B272" s="4" t="s">
        <v>269</v>
      </c>
      <c r="C272" s="4" t="s">
        <v>264</v>
      </c>
      <c r="D272" s="4" t="s">
        <v>45</v>
      </c>
      <c r="E272" s="6" t="s">
        <v>437</v>
      </c>
      <c r="F272" s="6"/>
      <c r="G272" s="53">
        <f>'Прилож №7'!H221</f>
        <v>355.5</v>
      </c>
      <c r="H272" s="53">
        <f>'Прилож №7'!I221</f>
        <v>0</v>
      </c>
      <c r="I272" s="53">
        <f>'Прилож №7'!J221</f>
        <v>348.9</v>
      </c>
      <c r="J272" s="53">
        <f>'Прилож №7'!K221</f>
        <v>0</v>
      </c>
      <c r="K272" s="63"/>
    </row>
    <row r="273" spans="1:11" s="49" customFormat="1" ht="15">
      <c r="A273" s="8" t="s">
        <v>599</v>
      </c>
      <c r="B273" s="4" t="s">
        <v>269</v>
      </c>
      <c r="C273" s="4" t="s">
        <v>264</v>
      </c>
      <c r="D273" s="4" t="s">
        <v>45</v>
      </c>
      <c r="E273" s="6" t="s">
        <v>421</v>
      </c>
      <c r="F273" s="6" t="s">
        <v>526</v>
      </c>
      <c r="G273" s="53">
        <f>'Прилож №7'!H222</f>
        <v>185.1</v>
      </c>
      <c r="H273" s="53">
        <f>'Прилож №7'!I222</f>
        <v>0</v>
      </c>
      <c r="I273" s="53">
        <f>'Прилож №7'!J222</f>
        <v>183.7</v>
      </c>
      <c r="J273" s="53">
        <f>'Прилож №7'!K222</f>
        <v>0</v>
      </c>
      <c r="K273" s="63"/>
    </row>
    <row r="274" spans="1:11" s="49" customFormat="1" ht="15">
      <c r="A274" s="2" t="s">
        <v>442</v>
      </c>
      <c r="B274" s="4" t="s">
        <v>269</v>
      </c>
      <c r="C274" s="4" t="s">
        <v>264</v>
      </c>
      <c r="D274" s="4" t="s">
        <v>45</v>
      </c>
      <c r="E274" s="6" t="s">
        <v>527</v>
      </c>
      <c r="F274" s="6"/>
      <c r="G274" s="53">
        <f>G275+G276</f>
        <v>10.799999999999999</v>
      </c>
      <c r="H274" s="53">
        <f>H275+H276</f>
        <v>0</v>
      </c>
      <c r="I274" s="53">
        <f>I275+I276</f>
        <v>0</v>
      </c>
      <c r="J274" s="53">
        <f>J275+J276</f>
        <v>0</v>
      </c>
      <c r="K274" s="63"/>
    </row>
    <row r="275" spans="1:11" s="49" customFormat="1" ht="15">
      <c r="A275" s="8" t="str">
        <f>'Прилож №7'!A224</f>
        <v>Уплата  налога на имущество организаций и земельного налога</v>
      </c>
      <c r="B275" s="4" t="s">
        <v>269</v>
      </c>
      <c r="C275" s="4" t="s">
        <v>264</v>
      </c>
      <c r="D275" s="4" t="s">
        <v>45</v>
      </c>
      <c r="E275" s="6" t="s">
        <v>418</v>
      </c>
      <c r="F275" s="6"/>
      <c r="G275" s="53">
        <f>'Прилож №7'!H224</f>
        <v>0.6</v>
      </c>
      <c r="H275" s="53">
        <f>'Прилож №7'!I224</f>
        <v>0</v>
      </c>
      <c r="I275" s="53">
        <f>'Прилож №7'!J224</f>
        <v>0</v>
      </c>
      <c r="J275" s="53">
        <f>'Прилож №7'!K224</f>
        <v>0</v>
      </c>
      <c r="K275" s="63"/>
    </row>
    <row r="276" spans="1:11" s="49" customFormat="1" ht="15">
      <c r="A276" s="2" t="s">
        <v>220</v>
      </c>
      <c r="B276" s="4" t="s">
        <v>269</v>
      </c>
      <c r="C276" s="4" t="s">
        <v>264</v>
      </c>
      <c r="D276" s="4" t="s">
        <v>45</v>
      </c>
      <c r="E276" s="6" t="s">
        <v>441</v>
      </c>
      <c r="F276" s="6"/>
      <c r="G276" s="53">
        <f>'Прилож №7'!H225</f>
        <v>10.2</v>
      </c>
      <c r="H276" s="53">
        <f>'Прилож №7'!I225</f>
        <v>0</v>
      </c>
      <c r="I276" s="53">
        <f>'Прилож №7'!J225</f>
        <v>0</v>
      </c>
      <c r="J276" s="53">
        <f>'Прилож №7'!K225</f>
        <v>0</v>
      </c>
      <c r="K276" s="63"/>
    </row>
    <row r="277" spans="1:11" s="49" customFormat="1" ht="15">
      <c r="A277" s="8" t="s">
        <v>220</v>
      </c>
      <c r="B277" s="4" t="s">
        <v>269</v>
      </c>
      <c r="C277" s="4" t="s">
        <v>264</v>
      </c>
      <c r="D277" s="4" t="s">
        <v>200</v>
      </c>
      <c r="E277" s="3"/>
      <c r="F277" s="6"/>
      <c r="G277" s="53">
        <f aca="true" t="shared" si="15" ref="G277:J279">G278</f>
        <v>140</v>
      </c>
      <c r="H277" s="53">
        <f t="shared" si="15"/>
        <v>140</v>
      </c>
      <c r="I277" s="53">
        <f t="shared" si="15"/>
        <v>140</v>
      </c>
      <c r="J277" s="53">
        <f t="shared" si="15"/>
        <v>140</v>
      </c>
      <c r="K277" s="63"/>
    </row>
    <row r="278" spans="1:11" s="49" customFormat="1" ht="86.25">
      <c r="A278" s="2" t="s">
        <v>59</v>
      </c>
      <c r="B278" s="4" t="s">
        <v>269</v>
      </c>
      <c r="C278" s="4" t="s">
        <v>264</v>
      </c>
      <c r="D278" s="4" t="s">
        <v>58</v>
      </c>
      <c r="E278" s="3"/>
      <c r="F278" s="6"/>
      <c r="G278" s="53">
        <f t="shared" si="15"/>
        <v>140</v>
      </c>
      <c r="H278" s="53">
        <f t="shared" si="15"/>
        <v>140</v>
      </c>
      <c r="I278" s="53">
        <f t="shared" si="15"/>
        <v>140</v>
      </c>
      <c r="J278" s="53">
        <f t="shared" si="15"/>
        <v>140</v>
      </c>
      <c r="K278" s="63"/>
    </row>
    <row r="279" spans="1:11" s="49" customFormat="1" ht="29.25">
      <c r="A279" s="2" t="s">
        <v>57</v>
      </c>
      <c r="B279" s="4" t="s">
        <v>269</v>
      </c>
      <c r="C279" s="4" t="s">
        <v>264</v>
      </c>
      <c r="D279" s="4" t="s">
        <v>56</v>
      </c>
      <c r="E279" s="3"/>
      <c r="F279" s="6"/>
      <c r="G279" s="53">
        <f t="shared" si="15"/>
        <v>140</v>
      </c>
      <c r="H279" s="53">
        <f t="shared" si="15"/>
        <v>140</v>
      </c>
      <c r="I279" s="53">
        <f t="shared" si="15"/>
        <v>140</v>
      </c>
      <c r="J279" s="53">
        <f t="shared" si="15"/>
        <v>140</v>
      </c>
      <c r="K279" s="63"/>
    </row>
    <row r="280" spans="1:11" s="49" customFormat="1" ht="29.25">
      <c r="A280" s="2" t="s">
        <v>431</v>
      </c>
      <c r="B280" s="4" t="s">
        <v>269</v>
      </c>
      <c r="C280" s="4" t="s">
        <v>264</v>
      </c>
      <c r="D280" s="4" t="s">
        <v>56</v>
      </c>
      <c r="E280" s="4" t="s">
        <v>421</v>
      </c>
      <c r="F280" s="6" t="s">
        <v>421</v>
      </c>
      <c r="G280" s="53">
        <f>'Прилож №7'!H229</f>
        <v>140</v>
      </c>
      <c r="H280" s="53">
        <f>'Прилож №7'!I229</f>
        <v>140</v>
      </c>
      <c r="I280" s="53">
        <f>'Прилож №7'!J229</f>
        <v>140</v>
      </c>
      <c r="J280" s="53">
        <f>'Прилож №7'!K229</f>
        <v>140</v>
      </c>
      <c r="K280" s="63"/>
    </row>
    <row r="281" spans="1:11" s="49" customFormat="1" ht="15">
      <c r="A281" s="11" t="s">
        <v>226</v>
      </c>
      <c r="B281" s="4" t="s">
        <v>269</v>
      </c>
      <c r="C281" s="4" t="s">
        <v>264</v>
      </c>
      <c r="D281" s="4"/>
      <c r="E281" s="4"/>
      <c r="F281" s="6"/>
      <c r="G281" s="53">
        <f>G282</f>
        <v>3088.3</v>
      </c>
      <c r="H281" s="53">
        <f aca="true" t="shared" si="16" ref="H281:J282">H282</f>
        <v>0</v>
      </c>
      <c r="I281" s="53">
        <f t="shared" si="16"/>
        <v>3087.6000000000004</v>
      </c>
      <c r="J281" s="53">
        <f t="shared" si="16"/>
        <v>0</v>
      </c>
      <c r="K281" s="63"/>
    </row>
    <row r="282" spans="1:11" s="49" customFormat="1" ht="29.25">
      <c r="A282" s="2" t="s">
        <v>386</v>
      </c>
      <c r="B282" s="4" t="s">
        <v>269</v>
      </c>
      <c r="C282" s="4" t="s">
        <v>264</v>
      </c>
      <c r="D282" s="4" t="s">
        <v>385</v>
      </c>
      <c r="E282" s="4"/>
      <c r="F282" s="6"/>
      <c r="G282" s="53">
        <f>G283</f>
        <v>3088.3</v>
      </c>
      <c r="H282" s="53">
        <f t="shared" si="16"/>
        <v>0</v>
      </c>
      <c r="I282" s="53">
        <f t="shared" si="16"/>
        <v>3087.6000000000004</v>
      </c>
      <c r="J282" s="53">
        <f t="shared" si="16"/>
        <v>0</v>
      </c>
      <c r="K282" s="63"/>
    </row>
    <row r="283" spans="1:11" s="49" customFormat="1" ht="29.25">
      <c r="A283" s="2" t="s">
        <v>431</v>
      </c>
      <c r="B283" s="4" t="s">
        <v>269</v>
      </c>
      <c r="C283" s="4" t="s">
        <v>264</v>
      </c>
      <c r="D283" s="4" t="s">
        <v>385</v>
      </c>
      <c r="E283" s="4" t="s">
        <v>421</v>
      </c>
      <c r="F283" s="6"/>
      <c r="G283" s="53">
        <f>'Прилож №7'!H770+'Прилож №7'!H231</f>
        <v>3088.3</v>
      </c>
      <c r="H283" s="53">
        <f>'Прилож №7'!I770+'Прилож №7'!I231</f>
        <v>0</v>
      </c>
      <c r="I283" s="53">
        <f>'Прилож №7'!J770+'Прилож №7'!J231</f>
        <v>3087.6000000000004</v>
      </c>
      <c r="J283" s="53">
        <f>'Прилож №7'!K770+'Прилож №7'!K231</f>
        <v>0</v>
      </c>
      <c r="K283" s="63"/>
    </row>
    <row r="284" spans="1:11" ht="14.25">
      <c r="A284" s="8" t="s">
        <v>223</v>
      </c>
      <c r="B284" s="4" t="s">
        <v>269</v>
      </c>
      <c r="C284" s="4" t="s">
        <v>264</v>
      </c>
      <c r="D284" s="4" t="s">
        <v>224</v>
      </c>
      <c r="E284" s="4"/>
      <c r="F284" s="4"/>
      <c r="G284" s="53">
        <f>G285+G287</f>
        <v>72556.6</v>
      </c>
      <c r="H284" s="53">
        <f>H285+H287</f>
        <v>0</v>
      </c>
      <c r="I284" s="53">
        <f>I285+I287</f>
        <v>69171.9</v>
      </c>
      <c r="J284" s="53">
        <f>J285+J287</f>
        <v>0</v>
      </c>
      <c r="K284" s="83"/>
    </row>
    <row r="285" spans="1:11" ht="28.5">
      <c r="A285" s="2" t="s">
        <v>371</v>
      </c>
      <c r="B285" s="4" t="s">
        <v>269</v>
      </c>
      <c r="C285" s="4" t="s">
        <v>264</v>
      </c>
      <c r="D285" s="4" t="s">
        <v>374</v>
      </c>
      <c r="E285" s="4"/>
      <c r="F285" s="4"/>
      <c r="G285" s="53">
        <f>G286</f>
        <v>62356.6</v>
      </c>
      <c r="H285" s="53">
        <f>H286</f>
        <v>0</v>
      </c>
      <c r="I285" s="53">
        <f>I286</f>
        <v>59112</v>
      </c>
      <c r="J285" s="53">
        <f>J286</f>
        <v>0</v>
      </c>
      <c r="K285" s="83"/>
    </row>
    <row r="286" spans="1:11" ht="28.5">
      <c r="A286" s="2" t="s">
        <v>431</v>
      </c>
      <c r="B286" s="4" t="s">
        <v>269</v>
      </c>
      <c r="C286" s="4" t="s">
        <v>264</v>
      </c>
      <c r="D286" s="4" t="s">
        <v>374</v>
      </c>
      <c r="E286" s="4" t="s">
        <v>421</v>
      </c>
      <c r="F286" s="4"/>
      <c r="G286" s="53">
        <f>'Прилож №7'!H234+'Прилож №7'!H692</f>
        <v>62356.6</v>
      </c>
      <c r="H286" s="53">
        <f>'Прилож №7'!I234+'Прилож №7'!I692</f>
        <v>0</v>
      </c>
      <c r="I286" s="53">
        <f>'Прилож №7'!J234+'Прилож №7'!J692</f>
        <v>59112</v>
      </c>
      <c r="J286" s="53">
        <f>'Прилож №7'!K234+'Прилож №7'!K692</f>
        <v>0</v>
      </c>
      <c r="K286" s="83"/>
    </row>
    <row r="287" spans="1:11" ht="85.5">
      <c r="A287" s="2" t="s">
        <v>511</v>
      </c>
      <c r="B287" s="4" t="s">
        <v>269</v>
      </c>
      <c r="C287" s="4" t="s">
        <v>264</v>
      </c>
      <c r="D287" s="4" t="s">
        <v>381</v>
      </c>
      <c r="E287" s="4"/>
      <c r="F287" s="4"/>
      <c r="G287" s="53">
        <f>G288</f>
        <v>10200</v>
      </c>
      <c r="H287" s="53">
        <f>H288</f>
        <v>0</v>
      </c>
      <c r="I287" s="53">
        <f>I288</f>
        <v>10059.9</v>
      </c>
      <c r="J287" s="53">
        <f>J288</f>
        <v>0</v>
      </c>
      <c r="K287" s="83"/>
    </row>
    <row r="288" spans="1:11" ht="28.5">
      <c r="A288" s="2" t="s">
        <v>431</v>
      </c>
      <c r="B288" s="4" t="s">
        <v>269</v>
      </c>
      <c r="C288" s="4" t="s">
        <v>264</v>
      </c>
      <c r="D288" s="4" t="s">
        <v>381</v>
      </c>
      <c r="E288" s="4" t="s">
        <v>421</v>
      </c>
      <c r="F288" s="4"/>
      <c r="G288" s="53">
        <f>'Прилож №7'!H236</f>
        <v>10200</v>
      </c>
      <c r="H288" s="53">
        <f>'Прилож №7'!I236</f>
        <v>0</v>
      </c>
      <c r="I288" s="53">
        <f>'Прилож №7'!J236</f>
        <v>10059.9</v>
      </c>
      <c r="J288" s="53">
        <f>'Прилож №7'!K236</f>
        <v>0</v>
      </c>
      <c r="K288" s="83"/>
    </row>
    <row r="289" spans="1:11" ht="15">
      <c r="A289" s="11" t="s">
        <v>170</v>
      </c>
      <c r="B289" s="3" t="s">
        <v>272</v>
      </c>
      <c r="C289" s="3"/>
      <c r="D289" s="3"/>
      <c r="E289" s="3"/>
      <c r="F289" s="4"/>
      <c r="G289" s="48">
        <f>G290</f>
        <v>3900</v>
      </c>
      <c r="H289" s="48">
        <f aca="true" t="shared" si="17" ref="H289:J291">H290</f>
        <v>0</v>
      </c>
      <c r="I289" s="48">
        <f t="shared" si="17"/>
        <v>3889.5</v>
      </c>
      <c r="J289" s="48">
        <f t="shared" si="17"/>
        <v>0</v>
      </c>
      <c r="K289" s="63">
        <f>I289/G289*100</f>
        <v>99.73076923076924</v>
      </c>
    </row>
    <row r="290" spans="1:11" ht="15">
      <c r="A290" s="11" t="s">
        <v>171</v>
      </c>
      <c r="B290" s="3" t="s">
        <v>272</v>
      </c>
      <c r="C290" s="3" t="s">
        <v>269</v>
      </c>
      <c r="D290" s="3"/>
      <c r="E290" s="3"/>
      <c r="F290" s="11"/>
      <c r="G290" s="48">
        <f>G291</f>
        <v>3900</v>
      </c>
      <c r="H290" s="48">
        <f t="shared" si="17"/>
        <v>0</v>
      </c>
      <c r="I290" s="48">
        <f t="shared" si="17"/>
        <v>3889.5</v>
      </c>
      <c r="J290" s="48">
        <f t="shared" si="17"/>
        <v>0</v>
      </c>
      <c r="K290" s="63">
        <f>I290/G290*100</f>
        <v>99.73076923076924</v>
      </c>
    </row>
    <row r="291" spans="1:11" ht="14.25">
      <c r="A291" s="8" t="s">
        <v>223</v>
      </c>
      <c r="B291" s="4" t="s">
        <v>272</v>
      </c>
      <c r="C291" s="4" t="s">
        <v>269</v>
      </c>
      <c r="D291" s="4" t="s">
        <v>224</v>
      </c>
      <c r="E291" s="4"/>
      <c r="F291" s="8"/>
      <c r="G291" s="53">
        <f>G292</f>
        <v>3900</v>
      </c>
      <c r="H291" s="53">
        <f t="shared" si="17"/>
        <v>0</v>
      </c>
      <c r="I291" s="53">
        <f t="shared" si="17"/>
        <v>3889.5</v>
      </c>
      <c r="J291" s="53">
        <f t="shared" si="17"/>
        <v>0</v>
      </c>
      <c r="K291" s="83"/>
    </row>
    <row r="292" spans="1:11" ht="57">
      <c r="A292" s="7" t="s">
        <v>392</v>
      </c>
      <c r="B292" s="4" t="s">
        <v>272</v>
      </c>
      <c r="C292" s="4" t="s">
        <v>269</v>
      </c>
      <c r="D292" s="4" t="s">
        <v>375</v>
      </c>
      <c r="E292" s="4"/>
      <c r="F292" s="8"/>
      <c r="G292" s="53">
        <f>G293+G294</f>
        <v>3900</v>
      </c>
      <c r="H292" s="53">
        <f>H293+H294</f>
        <v>0</v>
      </c>
      <c r="I292" s="53">
        <f>I293+I294</f>
        <v>3889.5</v>
      </c>
      <c r="J292" s="53">
        <f>J293+J294</f>
        <v>0</v>
      </c>
      <c r="K292" s="83"/>
    </row>
    <row r="293" spans="1:11" ht="28.5">
      <c r="A293" s="2" t="s">
        <v>431</v>
      </c>
      <c r="B293" s="4" t="s">
        <v>272</v>
      </c>
      <c r="C293" s="4" t="s">
        <v>269</v>
      </c>
      <c r="D293" s="4" t="s">
        <v>375</v>
      </c>
      <c r="E293" s="4" t="s">
        <v>421</v>
      </c>
      <c r="F293" s="8"/>
      <c r="G293" s="53">
        <f>'Прилож №7'!H241+'Прилож №7'!H697</f>
        <v>1400</v>
      </c>
      <c r="H293" s="53">
        <f>'Прилож №7'!I241+'Прилож №7'!I697</f>
        <v>0</v>
      </c>
      <c r="I293" s="53">
        <f>'Прилож №7'!J241+'Прилож №7'!J697</f>
        <v>1389.5</v>
      </c>
      <c r="J293" s="53">
        <f>'Прилож №7'!K241+'Прилож №7'!K697</f>
        <v>0</v>
      </c>
      <c r="K293" s="83"/>
    </row>
    <row r="294" spans="1:11" ht="42.75">
      <c r="A294" s="56" t="s">
        <v>461</v>
      </c>
      <c r="B294" s="4" t="s">
        <v>272</v>
      </c>
      <c r="C294" s="4" t="s">
        <v>269</v>
      </c>
      <c r="D294" s="4" t="s">
        <v>375</v>
      </c>
      <c r="E294" s="4" t="s">
        <v>460</v>
      </c>
      <c r="F294" s="8"/>
      <c r="G294" s="53">
        <f>'Прилож №7'!H242</f>
        <v>2500</v>
      </c>
      <c r="H294" s="53">
        <f>'Прилож №7'!I242</f>
        <v>0</v>
      </c>
      <c r="I294" s="53">
        <f>'Прилож №7'!J242</f>
        <v>2500</v>
      </c>
      <c r="J294" s="53">
        <f>'Прилож №7'!K242</f>
        <v>0</v>
      </c>
      <c r="K294" s="83"/>
    </row>
    <row r="295" spans="1:11" ht="15">
      <c r="A295" s="11" t="s">
        <v>145</v>
      </c>
      <c r="B295" s="3" t="s">
        <v>267</v>
      </c>
      <c r="C295" s="3"/>
      <c r="D295" s="3"/>
      <c r="E295" s="3"/>
      <c r="F295" s="4"/>
      <c r="G295" s="48">
        <f>G296+G338+G394+G422</f>
        <v>1583283.4999999998</v>
      </c>
      <c r="H295" s="48">
        <f>H296+H338+H394+H422</f>
        <v>702383.7999999999</v>
      </c>
      <c r="I295" s="48">
        <f>I296+I338+I394+I422</f>
        <v>1519128.4000000001</v>
      </c>
      <c r="J295" s="48">
        <f>J296+J338+J394+J422</f>
        <v>696617.4999999999</v>
      </c>
      <c r="K295" s="63">
        <f>I295/G295*100</f>
        <v>95.94797141510035</v>
      </c>
    </row>
    <row r="296" spans="1:11" ht="15">
      <c r="A296" s="11" t="s">
        <v>146</v>
      </c>
      <c r="B296" s="3" t="s">
        <v>267</v>
      </c>
      <c r="C296" s="3" t="s">
        <v>259</v>
      </c>
      <c r="D296" s="3"/>
      <c r="E296" s="3"/>
      <c r="F296" s="3"/>
      <c r="G296" s="48">
        <f>G301+G320+G329+G312+G307+G297</f>
        <v>830106.1</v>
      </c>
      <c r="H296" s="48">
        <f>H301+H320+H329+H312+H307+H297</f>
        <v>223211.2</v>
      </c>
      <c r="I296" s="48">
        <f>I301+I320+I329+I312+I307+I297</f>
        <v>771254.6</v>
      </c>
      <c r="J296" s="48">
        <f>J301+J320+J329+J312+J307+J297</f>
        <v>222388.90000000002</v>
      </c>
      <c r="K296" s="63">
        <f>I296/G296*100</f>
        <v>92.91036410887716</v>
      </c>
    </row>
    <row r="297" spans="1:11" ht="14.25">
      <c r="A297" s="71" t="s">
        <v>588</v>
      </c>
      <c r="B297" s="4" t="s">
        <v>267</v>
      </c>
      <c r="C297" s="4" t="s">
        <v>259</v>
      </c>
      <c r="D297" s="73" t="s">
        <v>591</v>
      </c>
      <c r="E297" s="4"/>
      <c r="F297" s="6"/>
      <c r="G297" s="53">
        <f aca="true" t="shared" si="18" ref="G297:J299">G298</f>
        <v>613.2</v>
      </c>
      <c r="H297" s="53">
        <f t="shared" si="18"/>
        <v>613.2</v>
      </c>
      <c r="I297" s="53">
        <f t="shared" si="18"/>
        <v>613.2</v>
      </c>
      <c r="J297" s="53">
        <f t="shared" si="18"/>
        <v>613.2</v>
      </c>
      <c r="K297" s="83"/>
    </row>
    <row r="298" spans="1:11" ht="28.5">
      <c r="A298" s="7" t="s">
        <v>101</v>
      </c>
      <c r="B298" s="4" t="s">
        <v>267</v>
      </c>
      <c r="C298" s="4" t="s">
        <v>259</v>
      </c>
      <c r="D298" s="73" t="s">
        <v>104</v>
      </c>
      <c r="E298" s="4"/>
      <c r="F298" s="6"/>
      <c r="G298" s="53">
        <f t="shared" si="18"/>
        <v>613.2</v>
      </c>
      <c r="H298" s="53">
        <f t="shared" si="18"/>
        <v>613.2</v>
      </c>
      <c r="I298" s="53">
        <f t="shared" si="18"/>
        <v>613.2</v>
      </c>
      <c r="J298" s="53">
        <f t="shared" si="18"/>
        <v>613.2</v>
      </c>
      <c r="K298" s="83"/>
    </row>
    <row r="299" spans="1:11" ht="28.5">
      <c r="A299" s="7" t="s">
        <v>102</v>
      </c>
      <c r="B299" s="4" t="s">
        <v>267</v>
      </c>
      <c r="C299" s="4" t="s">
        <v>259</v>
      </c>
      <c r="D299" s="73" t="s">
        <v>105</v>
      </c>
      <c r="E299" s="4"/>
      <c r="F299" s="6"/>
      <c r="G299" s="53">
        <f t="shared" si="18"/>
        <v>613.2</v>
      </c>
      <c r="H299" s="53">
        <f t="shared" si="18"/>
        <v>613.2</v>
      </c>
      <c r="I299" s="53">
        <f t="shared" si="18"/>
        <v>613.2</v>
      </c>
      <c r="J299" s="53">
        <f t="shared" si="18"/>
        <v>613.2</v>
      </c>
      <c r="K299" s="83"/>
    </row>
    <row r="300" spans="1:11" ht="42.75">
      <c r="A300" s="72" t="s">
        <v>103</v>
      </c>
      <c r="B300" s="4" t="s">
        <v>267</v>
      </c>
      <c r="C300" s="4" t="s">
        <v>259</v>
      </c>
      <c r="D300" s="74" t="s">
        <v>105</v>
      </c>
      <c r="E300" s="4"/>
      <c r="F300" s="6" t="s">
        <v>421</v>
      </c>
      <c r="G300" s="53">
        <f>'Прилож №7'!H370</f>
        <v>613.2</v>
      </c>
      <c r="H300" s="53">
        <f>'Прилож №7'!I370</f>
        <v>613.2</v>
      </c>
      <c r="I300" s="53">
        <f>'Прилож №7'!J370</f>
        <v>613.2</v>
      </c>
      <c r="J300" s="53">
        <f>'Прилож №7'!K370</f>
        <v>613.2</v>
      </c>
      <c r="K300" s="83"/>
    </row>
    <row r="301" spans="1:11" ht="15">
      <c r="A301" s="8" t="s">
        <v>147</v>
      </c>
      <c r="B301" s="4" t="s">
        <v>267</v>
      </c>
      <c r="C301" s="4" t="s">
        <v>259</v>
      </c>
      <c r="D301" s="4" t="s">
        <v>156</v>
      </c>
      <c r="E301" s="3"/>
      <c r="F301" s="3"/>
      <c r="G301" s="53">
        <f>G304+G302</f>
        <v>432109.5</v>
      </c>
      <c r="H301" s="53">
        <f>H304+H302</f>
        <v>41171</v>
      </c>
      <c r="I301" s="53">
        <f>I304+I302</f>
        <v>432109.5</v>
      </c>
      <c r="J301" s="53">
        <f>J304+J302</f>
        <v>41171</v>
      </c>
      <c r="K301" s="83"/>
    </row>
    <row r="302" spans="1:11" ht="43.5">
      <c r="A302" s="2" t="s">
        <v>448</v>
      </c>
      <c r="B302" s="4" t="s">
        <v>267</v>
      </c>
      <c r="C302" s="4" t="s">
        <v>259</v>
      </c>
      <c r="D302" s="4" t="s">
        <v>548</v>
      </c>
      <c r="E302" s="3"/>
      <c r="F302" s="3"/>
      <c r="G302" s="53">
        <f>G303</f>
        <v>41171</v>
      </c>
      <c r="H302" s="53">
        <f>H303</f>
        <v>41171</v>
      </c>
      <c r="I302" s="53">
        <f>I303</f>
        <v>41171</v>
      </c>
      <c r="J302" s="53">
        <f>J303</f>
        <v>41171</v>
      </c>
      <c r="K302" s="83"/>
    </row>
    <row r="303" spans="1:11" ht="29.25">
      <c r="A303" s="2" t="s">
        <v>396</v>
      </c>
      <c r="B303" s="4" t="s">
        <v>267</v>
      </c>
      <c r="C303" s="4" t="s">
        <v>259</v>
      </c>
      <c r="D303" s="4" t="s">
        <v>548</v>
      </c>
      <c r="E303" s="4" t="s">
        <v>395</v>
      </c>
      <c r="F303" s="3"/>
      <c r="G303" s="53">
        <f>'Прилож №7'!H373</f>
        <v>41171</v>
      </c>
      <c r="H303" s="53">
        <f>'Прилож №7'!I373</f>
        <v>41171</v>
      </c>
      <c r="I303" s="53">
        <f>'Прилож №7'!J373</f>
        <v>41171</v>
      </c>
      <c r="J303" s="53">
        <f>'Прилож №7'!K373</f>
        <v>41171</v>
      </c>
      <c r="K303" s="83"/>
    </row>
    <row r="304" spans="1:11" ht="14.25">
      <c r="A304" s="8" t="s">
        <v>157</v>
      </c>
      <c r="B304" s="4" t="s">
        <v>267</v>
      </c>
      <c r="C304" s="4" t="s">
        <v>259</v>
      </c>
      <c r="D304" s="4" t="s">
        <v>273</v>
      </c>
      <c r="E304" s="6"/>
      <c r="F304" s="6"/>
      <c r="G304" s="53">
        <f>G305+G306</f>
        <v>390938.5</v>
      </c>
      <c r="H304" s="53">
        <f>H305+H306</f>
        <v>0</v>
      </c>
      <c r="I304" s="53">
        <f>I305+I306</f>
        <v>390938.5</v>
      </c>
      <c r="J304" s="53">
        <f>J305+J306</f>
        <v>0</v>
      </c>
      <c r="K304" s="83"/>
    </row>
    <row r="305" spans="1:11" ht="42.75">
      <c r="A305" s="2" t="s">
        <v>429</v>
      </c>
      <c r="B305" s="4" t="s">
        <v>267</v>
      </c>
      <c r="C305" s="4" t="s">
        <v>259</v>
      </c>
      <c r="D305" s="4" t="s">
        <v>273</v>
      </c>
      <c r="E305" s="6" t="s">
        <v>402</v>
      </c>
      <c r="F305" s="6" t="s">
        <v>402</v>
      </c>
      <c r="G305" s="53">
        <f>'Прилож №7'!H375</f>
        <v>167328.2</v>
      </c>
      <c r="H305" s="53">
        <f>'Прилож №7'!I375</f>
        <v>0</v>
      </c>
      <c r="I305" s="53">
        <f>'Прилож №7'!J375</f>
        <v>167328.2</v>
      </c>
      <c r="J305" s="53">
        <f>'Прилож №7'!K375</f>
        <v>0</v>
      </c>
      <c r="K305" s="83"/>
    </row>
    <row r="306" spans="1:11" ht="42.75">
      <c r="A306" s="7" t="s">
        <v>434</v>
      </c>
      <c r="B306" s="4" t="s">
        <v>267</v>
      </c>
      <c r="C306" s="4" t="s">
        <v>259</v>
      </c>
      <c r="D306" s="4" t="s">
        <v>273</v>
      </c>
      <c r="E306" s="6" t="s">
        <v>433</v>
      </c>
      <c r="F306" s="6" t="s">
        <v>433</v>
      </c>
      <c r="G306" s="53">
        <f>'Прилож №7'!H376</f>
        <v>223610.3</v>
      </c>
      <c r="H306" s="53">
        <f>'Прилож №7'!I376</f>
        <v>0</v>
      </c>
      <c r="I306" s="53">
        <f>'Прилож №7'!J376</f>
        <v>223610.3</v>
      </c>
      <c r="J306" s="53">
        <f>'Прилож №7'!K376</f>
        <v>0</v>
      </c>
      <c r="K306" s="83"/>
    </row>
    <row r="307" spans="1:11" ht="14.25">
      <c r="A307" s="8" t="s">
        <v>220</v>
      </c>
      <c r="B307" s="4" t="s">
        <v>267</v>
      </c>
      <c r="C307" s="4" t="s">
        <v>259</v>
      </c>
      <c r="D307" s="4" t="s">
        <v>200</v>
      </c>
      <c r="E307" s="4"/>
      <c r="F307" s="6"/>
      <c r="G307" s="53">
        <f>G308</f>
        <v>2200</v>
      </c>
      <c r="H307" s="53">
        <f aca="true" t="shared" si="19" ref="H307:J308">H308</f>
        <v>2200</v>
      </c>
      <c r="I307" s="53">
        <f t="shared" si="19"/>
        <v>2200</v>
      </c>
      <c r="J307" s="53">
        <f t="shared" si="19"/>
        <v>2200</v>
      </c>
      <c r="K307" s="83"/>
    </row>
    <row r="308" spans="1:11" ht="85.5">
      <c r="A308" s="2" t="s">
        <v>59</v>
      </c>
      <c r="B308" s="4" t="s">
        <v>267</v>
      </c>
      <c r="C308" s="4" t="s">
        <v>259</v>
      </c>
      <c r="D308" s="4" t="s">
        <v>58</v>
      </c>
      <c r="E308" s="4"/>
      <c r="F308" s="6"/>
      <c r="G308" s="53">
        <f>G309</f>
        <v>2200</v>
      </c>
      <c r="H308" s="53">
        <f t="shared" si="19"/>
        <v>2200</v>
      </c>
      <c r="I308" s="53">
        <f t="shared" si="19"/>
        <v>2200</v>
      </c>
      <c r="J308" s="53">
        <f t="shared" si="19"/>
        <v>2200</v>
      </c>
      <c r="K308" s="83"/>
    </row>
    <row r="309" spans="1:11" ht="28.5">
      <c r="A309" s="2" t="s">
        <v>57</v>
      </c>
      <c r="B309" s="4" t="s">
        <v>267</v>
      </c>
      <c r="C309" s="4" t="s">
        <v>259</v>
      </c>
      <c r="D309" s="4" t="s">
        <v>56</v>
      </c>
      <c r="E309" s="4"/>
      <c r="F309" s="6"/>
      <c r="G309" s="53">
        <f>G310+G311</f>
        <v>2200</v>
      </c>
      <c r="H309" s="53">
        <f>H310+H311</f>
        <v>2200</v>
      </c>
      <c r="I309" s="53">
        <f>I310+I311</f>
        <v>2200</v>
      </c>
      <c r="J309" s="53">
        <f>J310+J311</f>
        <v>2200</v>
      </c>
      <c r="K309" s="83"/>
    </row>
    <row r="310" spans="1:11" ht="14.25">
      <c r="A310" s="7" t="s">
        <v>399</v>
      </c>
      <c r="B310" s="4" t="s">
        <v>267</v>
      </c>
      <c r="C310" s="4" t="s">
        <v>259</v>
      </c>
      <c r="D310" s="4" t="s">
        <v>56</v>
      </c>
      <c r="E310" s="4" t="s">
        <v>398</v>
      </c>
      <c r="F310" s="6" t="s">
        <v>398</v>
      </c>
      <c r="G310" s="53">
        <f>'Прилож №7'!H380</f>
        <v>1150</v>
      </c>
      <c r="H310" s="53">
        <f>'Прилож №7'!I380</f>
        <v>1150</v>
      </c>
      <c r="I310" s="53">
        <f>'Прилож №7'!J380</f>
        <v>1150</v>
      </c>
      <c r="J310" s="53">
        <f>'Прилож №7'!K380</f>
        <v>1150</v>
      </c>
      <c r="K310" s="83"/>
    </row>
    <row r="311" spans="1:11" ht="14.25">
      <c r="A311" s="7" t="s">
        <v>428</v>
      </c>
      <c r="B311" s="4" t="s">
        <v>267</v>
      </c>
      <c r="C311" s="4" t="s">
        <v>259</v>
      </c>
      <c r="D311" s="4" t="s">
        <v>56</v>
      </c>
      <c r="E311" s="4" t="s">
        <v>427</v>
      </c>
      <c r="F311" s="6" t="s">
        <v>427</v>
      </c>
      <c r="G311" s="53">
        <f>'Прилож №7'!H381</f>
        <v>1050</v>
      </c>
      <c r="H311" s="53">
        <f>'Прилож №7'!I381</f>
        <v>1050</v>
      </c>
      <c r="I311" s="53">
        <f>'Прилож №7'!J381</f>
        <v>1050</v>
      </c>
      <c r="J311" s="53">
        <f>'Прилож №7'!K381</f>
        <v>1050</v>
      </c>
      <c r="K311" s="83"/>
    </row>
    <row r="312" spans="1:11" ht="14.25">
      <c r="A312" s="8" t="s">
        <v>530</v>
      </c>
      <c r="B312" s="4" t="s">
        <v>267</v>
      </c>
      <c r="C312" s="4" t="s">
        <v>259</v>
      </c>
      <c r="D312" s="4" t="s">
        <v>528</v>
      </c>
      <c r="E312" s="6"/>
      <c r="F312" s="6"/>
      <c r="G312" s="53">
        <f>G313+G316</f>
        <v>42901.4</v>
      </c>
      <c r="H312" s="53">
        <f>H313+H316</f>
        <v>12090.2</v>
      </c>
      <c r="I312" s="53">
        <f>I313+I316</f>
        <v>42901.4</v>
      </c>
      <c r="J312" s="53">
        <f>J313+J316</f>
        <v>12090.2</v>
      </c>
      <c r="K312" s="83"/>
    </row>
    <row r="313" spans="1:11" ht="42.75">
      <c r="A313" s="2" t="s">
        <v>562</v>
      </c>
      <c r="B313" s="4" t="s">
        <v>267</v>
      </c>
      <c r="C313" s="4" t="s">
        <v>259</v>
      </c>
      <c r="D313" s="4" t="s">
        <v>560</v>
      </c>
      <c r="E313" s="6"/>
      <c r="F313" s="6"/>
      <c r="G313" s="53">
        <f>G314</f>
        <v>30811.2</v>
      </c>
      <c r="H313" s="53">
        <f aca="true" t="shared" si="20" ref="H313:J314">H314</f>
        <v>0</v>
      </c>
      <c r="I313" s="53">
        <f t="shared" si="20"/>
        <v>30811.2</v>
      </c>
      <c r="J313" s="53">
        <f t="shared" si="20"/>
        <v>0</v>
      </c>
      <c r="K313" s="83"/>
    </row>
    <row r="314" spans="1:11" ht="14.25">
      <c r="A314" s="2" t="s">
        <v>563</v>
      </c>
      <c r="B314" s="4" t="s">
        <v>401</v>
      </c>
      <c r="C314" s="4" t="s">
        <v>259</v>
      </c>
      <c r="D314" s="4" t="s">
        <v>561</v>
      </c>
      <c r="E314" s="6"/>
      <c r="F314" s="6"/>
      <c r="G314" s="53">
        <f>G315</f>
        <v>30811.2</v>
      </c>
      <c r="H314" s="53">
        <f t="shared" si="20"/>
        <v>0</v>
      </c>
      <c r="I314" s="53">
        <f t="shared" si="20"/>
        <v>30811.2</v>
      </c>
      <c r="J314" s="53">
        <f t="shared" si="20"/>
        <v>0</v>
      </c>
      <c r="K314" s="83"/>
    </row>
    <row r="315" spans="1:11" ht="57.75">
      <c r="A315" s="47" t="s">
        <v>95</v>
      </c>
      <c r="B315" s="4" t="s">
        <v>401</v>
      </c>
      <c r="C315" s="4" t="s">
        <v>259</v>
      </c>
      <c r="D315" s="4" t="s">
        <v>561</v>
      </c>
      <c r="E315" s="6" t="s">
        <v>227</v>
      </c>
      <c r="F315" s="6"/>
      <c r="G315" s="53">
        <f>'Прилож №7'!H248</f>
        <v>30811.2</v>
      </c>
      <c r="H315" s="53">
        <f>'Прилож №7'!I248</f>
        <v>0</v>
      </c>
      <c r="I315" s="53">
        <f>'Прилож №7'!J248</f>
        <v>30811.2</v>
      </c>
      <c r="J315" s="53">
        <f>'Прилож №7'!K248</f>
        <v>0</v>
      </c>
      <c r="K315" s="83"/>
    </row>
    <row r="316" spans="1:11" ht="42.75">
      <c r="A316" s="7" t="s">
        <v>118</v>
      </c>
      <c r="B316" s="4" t="s">
        <v>401</v>
      </c>
      <c r="C316" s="4" t="s">
        <v>259</v>
      </c>
      <c r="D316" s="4" t="s">
        <v>115</v>
      </c>
      <c r="E316" s="6"/>
      <c r="F316" s="6"/>
      <c r="G316" s="53">
        <f>G317</f>
        <v>12090.2</v>
      </c>
      <c r="H316" s="53">
        <f>H317</f>
        <v>12090.2</v>
      </c>
      <c r="I316" s="53">
        <f>I317</f>
        <v>12090.2</v>
      </c>
      <c r="J316" s="53">
        <f>J317</f>
        <v>12090.2</v>
      </c>
      <c r="K316" s="83"/>
    </row>
    <row r="317" spans="1:11" ht="57">
      <c r="A317" s="7" t="s">
        <v>117</v>
      </c>
      <c r="B317" s="4" t="s">
        <v>401</v>
      </c>
      <c r="C317" s="4" t="s">
        <v>259</v>
      </c>
      <c r="D317" s="4" t="s">
        <v>116</v>
      </c>
      <c r="E317" s="6"/>
      <c r="F317" s="6"/>
      <c r="G317" s="53">
        <f>G318+G319</f>
        <v>12090.2</v>
      </c>
      <c r="H317" s="53">
        <f>H318+H319</f>
        <v>12090.2</v>
      </c>
      <c r="I317" s="53">
        <f>I318+I319</f>
        <v>12090.2</v>
      </c>
      <c r="J317" s="53">
        <f>J318+J319</f>
        <v>12090.2</v>
      </c>
      <c r="K317" s="83"/>
    </row>
    <row r="318" spans="1:11" ht="42.75">
      <c r="A318" s="2" t="s">
        <v>429</v>
      </c>
      <c r="B318" s="4" t="s">
        <v>401</v>
      </c>
      <c r="C318" s="4" t="s">
        <v>259</v>
      </c>
      <c r="D318" s="4" t="s">
        <v>116</v>
      </c>
      <c r="E318" s="6" t="s">
        <v>402</v>
      </c>
      <c r="F318" s="6" t="s">
        <v>402</v>
      </c>
      <c r="G318" s="53">
        <f>'Прилож №7'!H385</f>
        <v>4638.2</v>
      </c>
      <c r="H318" s="53">
        <f>'Прилож №7'!I385</f>
        <v>4638.2</v>
      </c>
      <c r="I318" s="53">
        <f>'Прилож №7'!J385</f>
        <v>4638.2</v>
      </c>
      <c r="J318" s="53">
        <f>'Прилож №7'!K385</f>
        <v>4638.2</v>
      </c>
      <c r="K318" s="83"/>
    </row>
    <row r="319" spans="1:11" ht="42.75">
      <c r="A319" s="7" t="s">
        <v>434</v>
      </c>
      <c r="B319" s="4" t="s">
        <v>401</v>
      </c>
      <c r="C319" s="4" t="s">
        <v>259</v>
      </c>
      <c r="D319" s="4" t="s">
        <v>116</v>
      </c>
      <c r="E319" s="6" t="s">
        <v>433</v>
      </c>
      <c r="F319" s="6" t="s">
        <v>433</v>
      </c>
      <c r="G319" s="53">
        <f>'Прилож №7'!H386</f>
        <v>7452</v>
      </c>
      <c r="H319" s="53">
        <f>'Прилож №7'!I386</f>
        <v>7452</v>
      </c>
      <c r="I319" s="53">
        <f>'Прилож №7'!J386</f>
        <v>7452</v>
      </c>
      <c r="J319" s="53">
        <f>'Прилож №7'!K386</f>
        <v>7452</v>
      </c>
      <c r="K319" s="83"/>
    </row>
    <row r="320" spans="1:11" ht="42.75">
      <c r="A320" s="2" t="s">
        <v>516</v>
      </c>
      <c r="B320" s="4" t="s">
        <v>267</v>
      </c>
      <c r="C320" s="4" t="s">
        <v>259</v>
      </c>
      <c r="D320" s="4" t="s">
        <v>513</v>
      </c>
      <c r="E320" s="6"/>
      <c r="F320" s="6"/>
      <c r="G320" s="53">
        <f>G321+G324+G327</f>
        <v>167136.8</v>
      </c>
      <c r="H320" s="53">
        <f>H321+H324+H327</f>
        <v>167136.8</v>
      </c>
      <c r="I320" s="53">
        <f>I321+I324+I327</f>
        <v>166314.5</v>
      </c>
      <c r="J320" s="53">
        <f>J321+J324+J327</f>
        <v>166314.5</v>
      </c>
      <c r="K320" s="83"/>
    </row>
    <row r="321" spans="1:11" ht="28.5">
      <c r="A321" s="2" t="s">
        <v>522</v>
      </c>
      <c r="B321" s="4" t="s">
        <v>267</v>
      </c>
      <c r="C321" s="4" t="s">
        <v>259</v>
      </c>
      <c r="D321" s="4" t="s">
        <v>521</v>
      </c>
      <c r="E321" s="4"/>
      <c r="F321" s="6"/>
      <c r="G321" s="53">
        <f>G322+G323</f>
        <v>134897.8</v>
      </c>
      <c r="H321" s="53">
        <f>H322+H323</f>
        <v>134897.8</v>
      </c>
      <c r="I321" s="53">
        <f>I322+I323</f>
        <v>134897.8</v>
      </c>
      <c r="J321" s="53">
        <f>J322+J323</f>
        <v>134897.8</v>
      </c>
      <c r="K321" s="83"/>
    </row>
    <row r="322" spans="1:11" ht="58.5">
      <c r="A322" s="47" t="s">
        <v>234</v>
      </c>
      <c r="B322" s="4" t="s">
        <v>267</v>
      </c>
      <c r="C322" s="4" t="s">
        <v>259</v>
      </c>
      <c r="D322" s="4" t="s">
        <v>521</v>
      </c>
      <c r="E322" s="4" t="s">
        <v>227</v>
      </c>
      <c r="F322" s="6" t="s">
        <v>406</v>
      </c>
      <c r="G322" s="53">
        <f>'Прилож №7'!H251</f>
        <v>128378.8</v>
      </c>
      <c r="H322" s="53">
        <f>'Прилож №7'!I251</f>
        <v>128378.8</v>
      </c>
      <c r="I322" s="53">
        <f>'Прилож №7'!J251</f>
        <v>128378.8</v>
      </c>
      <c r="J322" s="53">
        <f>'Прилож №7'!K251</f>
        <v>128378.8</v>
      </c>
      <c r="K322" s="83"/>
    </row>
    <row r="323" spans="1:11" ht="57.75">
      <c r="A323" s="47" t="s">
        <v>94</v>
      </c>
      <c r="B323" s="4" t="s">
        <v>267</v>
      </c>
      <c r="C323" s="4" t="s">
        <v>259</v>
      </c>
      <c r="D323" s="4" t="s">
        <v>521</v>
      </c>
      <c r="E323" s="4" t="s">
        <v>227</v>
      </c>
      <c r="F323" s="6"/>
      <c r="G323" s="53">
        <f>'Прилож №7'!H252</f>
        <v>6519</v>
      </c>
      <c r="H323" s="53">
        <f>'Прилож №7'!I252</f>
        <v>6519</v>
      </c>
      <c r="I323" s="53">
        <f>'Прилож №7'!J252</f>
        <v>6519</v>
      </c>
      <c r="J323" s="53">
        <f>'Прилож №7'!K252</f>
        <v>6519</v>
      </c>
      <c r="K323" s="83"/>
    </row>
    <row r="324" spans="1:11" ht="28.5">
      <c r="A324" s="2" t="s">
        <v>519</v>
      </c>
      <c r="B324" s="4" t="s">
        <v>267</v>
      </c>
      <c r="C324" s="4" t="s">
        <v>259</v>
      </c>
      <c r="D324" s="4" t="s">
        <v>518</v>
      </c>
      <c r="E324" s="6"/>
      <c r="F324" s="6"/>
      <c r="G324" s="53">
        <f>G325+G326</f>
        <v>24972</v>
      </c>
      <c r="H324" s="53">
        <f>H325+H326</f>
        <v>24972</v>
      </c>
      <c r="I324" s="53">
        <f>I325+I326</f>
        <v>24972</v>
      </c>
      <c r="J324" s="53">
        <f>J325+J326</f>
        <v>24972</v>
      </c>
      <c r="K324" s="83"/>
    </row>
    <row r="325" spans="1:11" ht="14.25">
      <c r="A325" s="7" t="s">
        <v>399</v>
      </c>
      <c r="B325" s="4" t="s">
        <v>267</v>
      </c>
      <c r="C325" s="4" t="s">
        <v>259</v>
      </c>
      <c r="D325" s="4" t="s">
        <v>518</v>
      </c>
      <c r="E325" s="6" t="s">
        <v>398</v>
      </c>
      <c r="F325" s="6"/>
      <c r="G325" s="53">
        <f>'Прилож №7'!H389</f>
        <v>14568</v>
      </c>
      <c r="H325" s="53">
        <f>'Прилож №7'!I389</f>
        <v>14568</v>
      </c>
      <c r="I325" s="53">
        <f>'Прилож №7'!J389</f>
        <v>14568</v>
      </c>
      <c r="J325" s="53">
        <f>'Прилож №7'!K389</f>
        <v>14568</v>
      </c>
      <c r="K325" s="83"/>
    </row>
    <row r="326" spans="1:11" ht="14.25">
      <c r="A326" s="7" t="s">
        <v>428</v>
      </c>
      <c r="B326" s="4" t="s">
        <v>267</v>
      </c>
      <c r="C326" s="4" t="s">
        <v>259</v>
      </c>
      <c r="D326" s="4" t="s">
        <v>518</v>
      </c>
      <c r="E326" s="6" t="s">
        <v>427</v>
      </c>
      <c r="F326" s="6"/>
      <c r="G326" s="53">
        <f>'Прилож №7'!H390</f>
        <v>10404</v>
      </c>
      <c r="H326" s="53">
        <f>'Прилож №7'!I390</f>
        <v>10404</v>
      </c>
      <c r="I326" s="53">
        <f>'Прилож №7'!J390</f>
        <v>10404</v>
      </c>
      <c r="J326" s="53">
        <f>'Прилож №7'!K390</f>
        <v>10404</v>
      </c>
      <c r="K326" s="83"/>
    </row>
    <row r="327" spans="1:11" ht="114">
      <c r="A327" s="7" t="s">
        <v>39</v>
      </c>
      <c r="B327" s="4" t="s">
        <v>267</v>
      </c>
      <c r="C327" s="4" t="s">
        <v>259</v>
      </c>
      <c r="D327" s="4" t="s">
        <v>523</v>
      </c>
      <c r="E327" s="4"/>
      <c r="F327" s="6"/>
      <c r="G327" s="53">
        <f>G328</f>
        <v>7267</v>
      </c>
      <c r="H327" s="53">
        <f>H328</f>
        <v>7267</v>
      </c>
      <c r="I327" s="53">
        <f>I328</f>
        <v>6444.7</v>
      </c>
      <c r="J327" s="53">
        <f>J328</f>
        <v>6444.7</v>
      </c>
      <c r="K327" s="83"/>
    </row>
    <row r="328" spans="1:11" ht="28.5">
      <c r="A328" s="2" t="s">
        <v>396</v>
      </c>
      <c r="B328" s="4" t="s">
        <v>267</v>
      </c>
      <c r="C328" s="4" t="s">
        <v>259</v>
      </c>
      <c r="D328" s="4" t="s">
        <v>523</v>
      </c>
      <c r="E328" s="4" t="s">
        <v>395</v>
      </c>
      <c r="F328" s="6" t="s">
        <v>395</v>
      </c>
      <c r="G328" s="53">
        <f>'Прилож №7'!H392</f>
        <v>7267</v>
      </c>
      <c r="H328" s="53">
        <f>'Прилож №7'!I392</f>
        <v>7267</v>
      </c>
      <c r="I328" s="53">
        <f>'Прилож №7'!J392</f>
        <v>6444.7</v>
      </c>
      <c r="J328" s="53">
        <f>'Прилож №7'!K392</f>
        <v>6444.7</v>
      </c>
      <c r="K328" s="83"/>
    </row>
    <row r="329" spans="1:11" ht="14.25">
      <c r="A329" s="8" t="s">
        <v>223</v>
      </c>
      <c r="B329" s="4" t="s">
        <v>267</v>
      </c>
      <c r="C329" s="4" t="s">
        <v>259</v>
      </c>
      <c r="D329" s="4" t="s">
        <v>224</v>
      </c>
      <c r="E329" s="4"/>
      <c r="F329" s="6"/>
      <c r="G329" s="53">
        <f>G330</f>
        <v>185145.19999999998</v>
      </c>
      <c r="H329" s="53">
        <f>H330</f>
        <v>0</v>
      </c>
      <c r="I329" s="53">
        <f>I330</f>
        <v>127116</v>
      </c>
      <c r="J329" s="53">
        <f>J330</f>
        <v>0</v>
      </c>
      <c r="K329" s="83"/>
    </row>
    <row r="330" spans="1:11" ht="28.5">
      <c r="A330" s="2" t="s">
        <v>478</v>
      </c>
      <c r="B330" s="4" t="s">
        <v>267</v>
      </c>
      <c r="C330" s="4" t="s">
        <v>259</v>
      </c>
      <c r="D330" s="4" t="s">
        <v>377</v>
      </c>
      <c r="E330" s="4"/>
      <c r="F330" s="6"/>
      <c r="G330" s="53">
        <f>G331+G332+G333+G334+G335+G336+G337</f>
        <v>185145.19999999998</v>
      </c>
      <c r="H330" s="53">
        <f>H331+H332+H333+H334+H335+H336+H337</f>
        <v>0</v>
      </c>
      <c r="I330" s="53">
        <f>I331+I332+I333+I334+I335+I336+I337</f>
        <v>127116</v>
      </c>
      <c r="J330" s="53">
        <f>J331+J332+J333+J334+J335+J336+J337</f>
        <v>0</v>
      </c>
      <c r="K330" s="83"/>
    </row>
    <row r="331" spans="1:11" ht="28.5">
      <c r="A331" s="2" t="s">
        <v>431</v>
      </c>
      <c r="B331" s="4" t="s">
        <v>267</v>
      </c>
      <c r="C331" s="4" t="s">
        <v>259</v>
      </c>
      <c r="D331" s="4" t="s">
        <v>377</v>
      </c>
      <c r="E331" s="4" t="s">
        <v>421</v>
      </c>
      <c r="F331" s="6"/>
      <c r="G331" s="53">
        <f>'Прилож №7'!H395</f>
        <v>0</v>
      </c>
      <c r="H331" s="53">
        <f>'Прилож №7'!I395</f>
        <v>0</v>
      </c>
      <c r="I331" s="53">
        <f>'Прилож №7'!J395</f>
        <v>0</v>
      </c>
      <c r="J331" s="53">
        <f>'Прилож №7'!K395</f>
        <v>0</v>
      </c>
      <c r="K331" s="83"/>
    </row>
    <row r="332" spans="1:11" ht="57.75">
      <c r="A332" s="47" t="s">
        <v>233</v>
      </c>
      <c r="B332" s="4" t="s">
        <v>267</v>
      </c>
      <c r="C332" s="4" t="s">
        <v>259</v>
      </c>
      <c r="D332" s="4" t="s">
        <v>607</v>
      </c>
      <c r="E332" s="4" t="s">
        <v>227</v>
      </c>
      <c r="F332" s="6" t="s">
        <v>182</v>
      </c>
      <c r="G332" s="53">
        <f>'Прилож №7'!H255</f>
        <v>100359.5</v>
      </c>
      <c r="H332" s="53">
        <f>'Прилож №7'!I255</f>
        <v>0</v>
      </c>
      <c r="I332" s="53">
        <f>'Прилож №7'!J255</f>
        <v>43833.5</v>
      </c>
      <c r="J332" s="53">
        <f>'Прилож №7'!K255</f>
        <v>0</v>
      </c>
      <c r="K332" s="83"/>
    </row>
    <row r="333" spans="1:11" ht="72.75">
      <c r="A333" s="47" t="s">
        <v>92</v>
      </c>
      <c r="B333" s="4" t="s">
        <v>267</v>
      </c>
      <c r="C333" s="4" t="s">
        <v>259</v>
      </c>
      <c r="D333" s="4" t="s">
        <v>607</v>
      </c>
      <c r="E333" s="4" t="s">
        <v>227</v>
      </c>
      <c r="F333" s="6"/>
      <c r="G333" s="53">
        <f>'Прилож №7'!H396</f>
        <v>1636.3</v>
      </c>
      <c r="H333" s="53">
        <f>'Прилож №7'!I396</f>
        <v>0</v>
      </c>
      <c r="I333" s="53">
        <f>'Прилож №7'!J396</f>
        <v>1636.2</v>
      </c>
      <c r="J333" s="53">
        <f>'Прилож №7'!K396</f>
        <v>0</v>
      </c>
      <c r="K333" s="83"/>
    </row>
    <row r="334" spans="1:11" ht="72">
      <c r="A334" s="47" t="s">
        <v>93</v>
      </c>
      <c r="B334" s="4" t="s">
        <v>267</v>
      </c>
      <c r="C334" s="4" t="s">
        <v>259</v>
      </c>
      <c r="D334" s="4" t="s">
        <v>608</v>
      </c>
      <c r="E334" s="4" t="s">
        <v>227</v>
      </c>
      <c r="F334" s="6"/>
      <c r="G334" s="53">
        <f>'Прилож №7'!H256</f>
        <v>2480.999999999971</v>
      </c>
      <c r="H334" s="53">
        <f>'Прилож №7'!I256</f>
        <v>0</v>
      </c>
      <c r="I334" s="53">
        <f>'Прилож №7'!J256</f>
        <v>1176</v>
      </c>
      <c r="J334" s="53">
        <f>'Прилож №7'!K256</f>
        <v>0</v>
      </c>
      <c r="K334" s="83"/>
    </row>
    <row r="335" spans="1:11" ht="14.25">
      <c r="A335" s="7" t="s">
        <v>399</v>
      </c>
      <c r="B335" s="4" t="s">
        <v>267</v>
      </c>
      <c r="C335" s="4" t="s">
        <v>259</v>
      </c>
      <c r="D335" s="4" t="s">
        <v>446</v>
      </c>
      <c r="E335" s="4" t="s">
        <v>398</v>
      </c>
      <c r="F335" s="6"/>
      <c r="G335" s="53">
        <f>'Прилож №7'!H397</f>
        <v>6819.7</v>
      </c>
      <c r="H335" s="53">
        <f>'Прилож №7'!I397</f>
        <v>0</v>
      </c>
      <c r="I335" s="53">
        <f>'Прилож №7'!J397</f>
        <v>6660.7</v>
      </c>
      <c r="J335" s="53">
        <f>'Прилож №7'!K397</f>
        <v>0</v>
      </c>
      <c r="K335" s="83"/>
    </row>
    <row r="336" spans="1:11" ht="14.25">
      <c r="A336" s="7" t="s">
        <v>428</v>
      </c>
      <c r="B336" s="4" t="s">
        <v>267</v>
      </c>
      <c r="C336" s="4" t="s">
        <v>259</v>
      </c>
      <c r="D336" s="4" t="s">
        <v>446</v>
      </c>
      <c r="E336" s="4" t="s">
        <v>427</v>
      </c>
      <c r="F336" s="6"/>
      <c r="G336" s="53">
        <f>'Прилож №7'!H398</f>
        <v>73351.1</v>
      </c>
      <c r="H336" s="53">
        <f>'Прилож №7'!I398</f>
        <v>0</v>
      </c>
      <c r="I336" s="53">
        <f>'Прилож №7'!J398</f>
        <v>73312</v>
      </c>
      <c r="J336" s="53">
        <f>'Прилож №7'!K398</f>
        <v>0</v>
      </c>
      <c r="K336" s="83"/>
    </row>
    <row r="337" spans="1:11" ht="28.5">
      <c r="A337" s="2" t="s">
        <v>396</v>
      </c>
      <c r="B337" s="4" t="s">
        <v>267</v>
      </c>
      <c r="C337" s="4" t="s">
        <v>259</v>
      </c>
      <c r="D337" s="4" t="s">
        <v>446</v>
      </c>
      <c r="E337" s="4" t="s">
        <v>395</v>
      </c>
      <c r="F337" s="6"/>
      <c r="G337" s="53">
        <f>'Прилож №7'!H399</f>
        <v>497.6</v>
      </c>
      <c r="H337" s="53">
        <f>'Прилож №7'!I399</f>
        <v>0</v>
      </c>
      <c r="I337" s="53">
        <f>'Прилож №7'!J399</f>
        <v>497.6</v>
      </c>
      <c r="J337" s="53">
        <f>'Прилож №7'!K399</f>
        <v>0</v>
      </c>
      <c r="K337" s="83"/>
    </row>
    <row r="338" spans="1:11" ht="15">
      <c r="A338" s="11" t="s">
        <v>148</v>
      </c>
      <c r="B338" s="3" t="s">
        <v>267</v>
      </c>
      <c r="C338" s="3" t="s">
        <v>260</v>
      </c>
      <c r="D338" s="3"/>
      <c r="E338" s="3"/>
      <c r="F338" s="3"/>
      <c r="G338" s="48">
        <f>G339+G354+G377+G391+G364+G372+G361</f>
        <v>647905.1</v>
      </c>
      <c r="H338" s="48">
        <f>H339+H354+H377+H391+H364+H372+H361</f>
        <v>452037</v>
      </c>
      <c r="I338" s="48">
        <f>I339+I354+I377+I391+I364+I372+I361</f>
        <v>647501.2000000001</v>
      </c>
      <c r="J338" s="48">
        <f>J339+J354+J377+J391+J364+J372+J361</f>
        <v>451720.8</v>
      </c>
      <c r="K338" s="63">
        <f>I338/G338*100</f>
        <v>99.93766062344626</v>
      </c>
    </row>
    <row r="339" spans="1:11" ht="28.5">
      <c r="A339" s="2" t="s">
        <v>321</v>
      </c>
      <c r="B339" s="4" t="s">
        <v>267</v>
      </c>
      <c r="C339" s="4" t="s">
        <v>260</v>
      </c>
      <c r="D339" s="4" t="s">
        <v>158</v>
      </c>
      <c r="E339" s="6"/>
      <c r="F339" s="6"/>
      <c r="G339" s="53">
        <f>G340+G346+G349</f>
        <v>468236.60000000003</v>
      </c>
      <c r="H339" s="53">
        <f>H340+H346+H349</f>
        <v>403214.4</v>
      </c>
      <c r="I339" s="53">
        <f>I340+I346+I349</f>
        <v>467935.60000000003</v>
      </c>
      <c r="J339" s="53">
        <f>J340+J346+J349</f>
        <v>402913.4</v>
      </c>
      <c r="K339" s="83"/>
    </row>
    <row r="340" spans="1:11" ht="300">
      <c r="A340" s="75" t="s">
        <v>583</v>
      </c>
      <c r="B340" s="4" t="s">
        <v>267</v>
      </c>
      <c r="C340" s="4" t="s">
        <v>260</v>
      </c>
      <c r="D340" s="4" t="s">
        <v>549</v>
      </c>
      <c r="E340" s="6"/>
      <c r="F340" s="6"/>
      <c r="G340" s="53">
        <f>G341+G342+G344+G343+G345</f>
        <v>382657</v>
      </c>
      <c r="H340" s="53">
        <f>H341+H342+H344+H343+H345</f>
        <v>382657</v>
      </c>
      <c r="I340" s="53">
        <f>I341+I342+I344+I343+I345</f>
        <v>382356</v>
      </c>
      <c r="J340" s="53">
        <f>J341+J342+J344+J343+J345</f>
        <v>382356</v>
      </c>
      <c r="K340" s="83"/>
    </row>
    <row r="341" spans="1:11" ht="28.5">
      <c r="A341" s="2" t="s">
        <v>431</v>
      </c>
      <c r="B341" s="4" t="s">
        <v>267</v>
      </c>
      <c r="C341" s="4" t="s">
        <v>260</v>
      </c>
      <c r="D341" s="4" t="s">
        <v>549</v>
      </c>
      <c r="E341" s="6" t="s">
        <v>421</v>
      </c>
      <c r="F341" s="6" t="s">
        <v>421</v>
      </c>
      <c r="G341" s="53">
        <f>'Прилож №7'!H403</f>
        <v>12698.9</v>
      </c>
      <c r="H341" s="53">
        <f>'Прилож №7'!I403</f>
        <v>12698.9</v>
      </c>
      <c r="I341" s="53">
        <f>'Прилож №7'!J403</f>
        <v>12698.9</v>
      </c>
      <c r="J341" s="53">
        <f>'Прилож №7'!K403</f>
        <v>12698.9</v>
      </c>
      <c r="K341" s="83"/>
    </row>
    <row r="342" spans="1:11" ht="42.75">
      <c r="A342" s="2" t="s">
        <v>429</v>
      </c>
      <c r="B342" s="4" t="s">
        <v>267</v>
      </c>
      <c r="C342" s="4" t="s">
        <v>260</v>
      </c>
      <c r="D342" s="4" t="s">
        <v>549</v>
      </c>
      <c r="E342" s="6" t="s">
        <v>402</v>
      </c>
      <c r="F342" s="6" t="s">
        <v>402</v>
      </c>
      <c r="G342" s="53">
        <f>'Прилож №7'!H404</f>
        <v>65936.7</v>
      </c>
      <c r="H342" s="53">
        <f>'Прилож №7'!I404</f>
        <v>65936.7</v>
      </c>
      <c r="I342" s="53">
        <f>'Прилож №7'!J404</f>
        <v>65936.7</v>
      </c>
      <c r="J342" s="53">
        <f>'Прилож №7'!K404</f>
        <v>65936.7</v>
      </c>
      <c r="K342" s="83"/>
    </row>
    <row r="343" spans="1:11" ht="14.25">
      <c r="A343" s="7" t="s">
        <v>399</v>
      </c>
      <c r="B343" s="4" t="s">
        <v>267</v>
      </c>
      <c r="C343" s="4" t="s">
        <v>260</v>
      </c>
      <c r="D343" s="4" t="s">
        <v>549</v>
      </c>
      <c r="E343" s="6" t="s">
        <v>398</v>
      </c>
      <c r="F343" s="6"/>
      <c r="G343" s="53">
        <f>'Прилож №7'!H405</f>
        <v>134.4</v>
      </c>
      <c r="H343" s="53">
        <f>'Прилож №7'!I405</f>
        <v>134.4</v>
      </c>
      <c r="I343" s="53">
        <f>'Прилож №7'!J405</f>
        <v>134.4</v>
      </c>
      <c r="J343" s="53">
        <f>'Прилож №7'!K405</f>
        <v>134.4</v>
      </c>
      <c r="K343" s="83"/>
    </row>
    <row r="344" spans="1:11" ht="42.75">
      <c r="A344" s="7" t="s">
        <v>434</v>
      </c>
      <c r="B344" s="4" t="s">
        <v>267</v>
      </c>
      <c r="C344" s="4" t="s">
        <v>260</v>
      </c>
      <c r="D344" s="4" t="s">
        <v>549</v>
      </c>
      <c r="E344" s="6" t="s">
        <v>433</v>
      </c>
      <c r="F344" s="6" t="s">
        <v>433</v>
      </c>
      <c r="G344" s="53">
        <f>'Прилож №7'!H406</f>
        <v>303448.3</v>
      </c>
      <c r="H344" s="53">
        <f>'Прилож №7'!I406</f>
        <v>303448.3</v>
      </c>
      <c r="I344" s="53">
        <f>'Прилож №7'!J406</f>
        <v>303147.3</v>
      </c>
      <c r="J344" s="53">
        <f>'Прилож №7'!K406</f>
        <v>303147.3</v>
      </c>
      <c r="K344" s="83"/>
    </row>
    <row r="345" spans="1:11" ht="14.25">
      <c r="A345" s="7" t="s">
        <v>428</v>
      </c>
      <c r="B345" s="4" t="s">
        <v>267</v>
      </c>
      <c r="C345" s="4" t="s">
        <v>260</v>
      </c>
      <c r="D345" s="4" t="s">
        <v>549</v>
      </c>
      <c r="E345" s="6" t="s">
        <v>427</v>
      </c>
      <c r="F345" s="6"/>
      <c r="G345" s="53">
        <f>'Прилож №7'!H407</f>
        <v>438.7</v>
      </c>
      <c r="H345" s="53">
        <f>'Прилож №7'!I407</f>
        <v>438.7</v>
      </c>
      <c r="I345" s="53">
        <f>'Прилож №7'!J407</f>
        <v>438.7</v>
      </c>
      <c r="J345" s="53">
        <f>'Прилож №7'!K407</f>
        <v>438.7</v>
      </c>
      <c r="K345" s="83"/>
    </row>
    <row r="346" spans="1:11" ht="48" customHeight="1">
      <c r="A346" s="75" t="s">
        <v>584</v>
      </c>
      <c r="B346" s="4" t="s">
        <v>267</v>
      </c>
      <c r="C346" s="4" t="s">
        <v>260</v>
      </c>
      <c r="D346" s="4" t="s">
        <v>550</v>
      </c>
      <c r="E346" s="6"/>
      <c r="F346" s="6"/>
      <c r="G346" s="53">
        <f>G347+G348</f>
        <v>20557.399999999998</v>
      </c>
      <c r="H346" s="53">
        <f>H347+H348</f>
        <v>20557.399999999998</v>
      </c>
      <c r="I346" s="53">
        <f>I347+I348</f>
        <v>20557.399999999998</v>
      </c>
      <c r="J346" s="53">
        <f>J347+J348</f>
        <v>20557.399999999998</v>
      </c>
      <c r="K346" s="83"/>
    </row>
    <row r="347" spans="1:11" ht="42.75">
      <c r="A347" s="2" t="s">
        <v>429</v>
      </c>
      <c r="B347" s="4" t="s">
        <v>267</v>
      </c>
      <c r="C347" s="4" t="s">
        <v>260</v>
      </c>
      <c r="D347" s="4" t="s">
        <v>550</v>
      </c>
      <c r="E347" s="6" t="s">
        <v>402</v>
      </c>
      <c r="F347" s="6" t="s">
        <v>402</v>
      </c>
      <c r="G347" s="53">
        <f>'Прилож №7'!H409</f>
        <v>3182.6</v>
      </c>
      <c r="H347" s="53">
        <f>'Прилож №7'!I409</f>
        <v>3182.6</v>
      </c>
      <c r="I347" s="53">
        <f>'Прилож №7'!J409</f>
        <v>3182.6</v>
      </c>
      <c r="J347" s="53">
        <f>'Прилож №7'!K409</f>
        <v>3182.6</v>
      </c>
      <c r="K347" s="83"/>
    </row>
    <row r="348" spans="1:11" ht="42.75">
      <c r="A348" s="7" t="s">
        <v>434</v>
      </c>
      <c r="B348" s="4" t="s">
        <v>267</v>
      </c>
      <c r="C348" s="4" t="s">
        <v>260</v>
      </c>
      <c r="D348" s="4" t="s">
        <v>550</v>
      </c>
      <c r="E348" s="6" t="s">
        <v>433</v>
      </c>
      <c r="F348" s="6" t="s">
        <v>433</v>
      </c>
      <c r="G348" s="53">
        <f>'Прилож №7'!H410</f>
        <v>17374.8</v>
      </c>
      <c r="H348" s="53">
        <f>'Прилож №7'!I410</f>
        <v>17374.8</v>
      </c>
      <c r="I348" s="53">
        <f>'Прилож №7'!J410</f>
        <v>17374.8</v>
      </c>
      <c r="J348" s="53">
        <f>'Прилож №7'!K410</f>
        <v>17374.8</v>
      </c>
      <c r="K348" s="83"/>
    </row>
    <row r="349" spans="1:11" ht="14.25">
      <c r="A349" s="8" t="s">
        <v>157</v>
      </c>
      <c r="B349" s="4" t="s">
        <v>267</v>
      </c>
      <c r="C349" s="4" t="s">
        <v>260</v>
      </c>
      <c r="D349" s="4" t="s">
        <v>274</v>
      </c>
      <c r="E349" s="6"/>
      <c r="F349" s="6"/>
      <c r="G349" s="53">
        <f>G352+G353+G350</f>
        <v>65022.2</v>
      </c>
      <c r="H349" s="53">
        <f>H352+H353+H350</f>
        <v>0</v>
      </c>
      <c r="I349" s="53">
        <f>I352+I353+I350</f>
        <v>65022.2</v>
      </c>
      <c r="J349" s="53">
        <f>J352+J353+J350</f>
        <v>0</v>
      </c>
      <c r="K349" s="83"/>
    </row>
    <row r="350" spans="1:11" ht="14.25">
      <c r="A350" s="2" t="s">
        <v>599</v>
      </c>
      <c r="B350" s="4" t="s">
        <v>267</v>
      </c>
      <c r="C350" s="4" t="s">
        <v>260</v>
      </c>
      <c r="D350" s="4" t="s">
        <v>274</v>
      </c>
      <c r="E350" s="6"/>
      <c r="F350" s="6"/>
      <c r="G350" s="53">
        <f>G351</f>
        <v>140</v>
      </c>
      <c r="H350" s="53">
        <f>H351</f>
        <v>0</v>
      </c>
      <c r="I350" s="53">
        <f>I351</f>
        <v>140</v>
      </c>
      <c r="J350" s="53">
        <f>J351</f>
        <v>0</v>
      </c>
      <c r="K350" s="83"/>
    </row>
    <row r="351" spans="1:11" ht="28.5">
      <c r="A351" s="2" t="s">
        <v>431</v>
      </c>
      <c r="B351" s="4" t="s">
        <v>267</v>
      </c>
      <c r="C351" s="4" t="s">
        <v>260</v>
      </c>
      <c r="D351" s="4" t="s">
        <v>274</v>
      </c>
      <c r="E351" s="6" t="s">
        <v>421</v>
      </c>
      <c r="F351" s="6"/>
      <c r="G351" s="53">
        <f>'Прилож №7'!H229</f>
        <v>140</v>
      </c>
      <c r="H351" s="53"/>
      <c r="I351" s="53">
        <f>'Прилож №7'!J229</f>
        <v>140</v>
      </c>
      <c r="J351" s="53"/>
      <c r="K351" s="83"/>
    </row>
    <row r="352" spans="1:11" ht="42.75">
      <c r="A352" s="2" t="s">
        <v>429</v>
      </c>
      <c r="B352" s="4" t="s">
        <v>267</v>
      </c>
      <c r="C352" s="4" t="s">
        <v>260</v>
      </c>
      <c r="D352" s="4" t="s">
        <v>274</v>
      </c>
      <c r="E352" s="6" t="s">
        <v>402</v>
      </c>
      <c r="F352" s="6" t="s">
        <v>402</v>
      </c>
      <c r="G352" s="53">
        <f>'Прилож №7'!H414</f>
        <v>17030.199999999997</v>
      </c>
      <c r="H352" s="53">
        <f>'Прилож №7'!I414</f>
        <v>0</v>
      </c>
      <c r="I352" s="53">
        <f>'Прилож №7'!J414</f>
        <v>17030.2</v>
      </c>
      <c r="J352" s="53">
        <f>'Прилож №7'!K414</f>
        <v>0</v>
      </c>
      <c r="K352" s="83"/>
    </row>
    <row r="353" spans="1:11" ht="42.75">
      <c r="A353" s="7" t="s">
        <v>434</v>
      </c>
      <c r="B353" s="4" t="s">
        <v>267</v>
      </c>
      <c r="C353" s="4" t="s">
        <v>260</v>
      </c>
      <c r="D353" s="4" t="s">
        <v>274</v>
      </c>
      <c r="E353" s="6" t="s">
        <v>433</v>
      </c>
      <c r="F353" s="6" t="s">
        <v>433</v>
      </c>
      <c r="G353" s="53">
        <f>'Прилож №7'!H415</f>
        <v>47852</v>
      </c>
      <c r="H353" s="53">
        <f>'Прилож №7'!I415</f>
        <v>0</v>
      </c>
      <c r="I353" s="53">
        <f>'Прилож №7'!J415</f>
        <v>47852</v>
      </c>
      <c r="J353" s="53">
        <f>'Прилож №7'!K415</f>
        <v>0</v>
      </c>
      <c r="K353" s="83"/>
    </row>
    <row r="354" spans="1:11" ht="14.25">
      <c r="A354" s="8" t="s">
        <v>160</v>
      </c>
      <c r="B354" s="4" t="s">
        <v>267</v>
      </c>
      <c r="C354" s="4" t="s">
        <v>260</v>
      </c>
      <c r="D354" s="4" t="s">
        <v>161</v>
      </c>
      <c r="E354" s="4"/>
      <c r="F354" s="4"/>
      <c r="G354" s="53">
        <f>G358+G355</f>
        <v>97765.2</v>
      </c>
      <c r="H354" s="53">
        <f>H358+H355</f>
        <v>0</v>
      </c>
      <c r="I354" s="53">
        <f>I358+I355</f>
        <v>97765.2</v>
      </c>
      <c r="J354" s="53">
        <f>J358+J355</f>
        <v>0</v>
      </c>
      <c r="K354" s="83"/>
    </row>
    <row r="355" spans="1:11" ht="14.25">
      <c r="A355" s="59" t="s">
        <v>363</v>
      </c>
      <c r="B355" s="4" t="s">
        <v>267</v>
      </c>
      <c r="C355" s="4" t="s">
        <v>260</v>
      </c>
      <c r="D355" s="4" t="s">
        <v>32</v>
      </c>
      <c r="E355" s="4"/>
      <c r="F355" s="4"/>
      <c r="G355" s="53">
        <f>G356+G357</f>
        <v>569.7</v>
      </c>
      <c r="H355" s="53">
        <f>H356+H357</f>
        <v>0</v>
      </c>
      <c r="I355" s="53">
        <f>I356+I357</f>
        <v>569.7</v>
      </c>
      <c r="J355" s="53">
        <f>J356+J357</f>
        <v>0</v>
      </c>
      <c r="K355" s="83"/>
    </row>
    <row r="356" spans="1:11" ht="42.75">
      <c r="A356" s="2" t="s">
        <v>601</v>
      </c>
      <c r="B356" s="4" t="s">
        <v>267</v>
      </c>
      <c r="C356" s="4" t="s">
        <v>260</v>
      </c>
      <c r="D356" s="4" t="s">
        <v>32</v>
      </c>
      <c r="E356" s="4" t="s">
        <v>402</v>
      </c>
      <c r="F356" s="4"/>
      <c r="G356" s="53">
        <f>'Прилож №7'!H520</f>
        <v>6.6</v>
      </c>
      <c r="H356" s="53">
        <f>'Прилож №7'!I520</f>
        <v>0</v>
      </c>
      <c r="I356" s="53">
        <f>'Прилож №7'!J520</f>
        <v>6.6</v>
      </c>
      <c r="J356" s="53">
        <f>'Прилож №7'!K520</f>
        <v>0</v>
      </c>
      <c r="K356" s="83"/>
    </row>
    <row r="357" spans="1:11" ht="42.75">
      <c r="A357" s="7" t="s">
        <v>434</v>
      </c>
      <c r="B357" s="4" t="s">
        <v>267</v>
      </c>
      <c r="C357" s="4" t="s">
        <v>260</v>
      </c>
      <c r="D357" s="4" t="s">
        <v>32</v>
      </c>
      <c r="E357" s="4" t="s">
        <v>433</v>
      </c>
      <c r="F357" s="4"/>
      <c r="G357" s="53">
        <f>'Прилож №7'!H521</f>
        <v>563.1</v>
      </c>
      <c r="H357" s="53">
        <f>'Прилож №7'!I521</f>
        <v>0</v>
      </c>
      <c r="I357" s="53">
        <f>'Прилож №7'!J521</f>
        <v>563.1</v>
      </c>
      <c r="J357" s="53">
        <f>'Прилож №7'!K521</f>
        <v>0</v>
      </c>
      <c r="K357" s="83"/>
    </row>
    <row r="358" spans="1:11" ht="14.25">
      <c r="A358" s="8" t="s">
        <v>157</v>
      </c>
      <c r="B358" s="4" t="s">
        <v>267</v>
      </c>
      <c r="C358" s="4" t="s">
        <v>260</v>
      </c>
      <c r="D358" s="4" t="s">
        <v>275</v>
      </c>
      <c r="E358" s="4"/>
      <c r="F358" s="4"/>
      <c r="G358" s="53">
        <f>G359+G360</f>
        <v>97195.5</v>
      </c>
      <c r="H358" s="53">
        <f>H359+H360</f>
        <v>0</v>
      </c>
      <c r="I358" s="53">
        <f>I359+I360</f>
        <v>97195.5</v>
      </c>
      <c r="J358" s="53">
        <f>J359+J360</f>
        <v>0</v>
      </c>
      <c r="K358" s="83"/>
    </row>
    <row r="359" spans="1:11" ht="42.75">
      <c r="A359" s="2" t="s">
        <v>429</v>
      </c>
      <c r="B359" s="4" t="s">
        <v>267</v>
      </c>
      <c r="C359" s="4" t="s">
        <v>260</v>
      </c>
      <c r="D359" s="4" t="s">
        <v>275</v>
      </c>
      <c r="E359" s="4" t="s">
        <v>402</v>
      </c>
      <c r="F359" s="4"/>
      <c r="G359" s="53">
        <f>'Прилож №7'!H523+'Прилож №7'!H418</f>
        <v>70213.3</v>
      </c>
      <c r="H359" s="53">
        <f>'Прилож №7'!I523+'Прилож №7'!I418</f>
        <v>0</v>
      </c>
      <c r="I359" s="53">
        <f>'Прилож №7'!J523+'Прилож №7'!J418</f>
        <v>70213.3</v>
      </c>
      <c r="J359" s="53">
        <f>'Прилож №7'!K523+'Прилож №7'!K418</f>
        <v>0</v>
      </c>
      <c r="K359" s="83"/>
    </row>
    <row r="360" spans="1:11" ht="42.75">
      <c r="A360" s="7" t="s">
        <v>435</v>
      </c>
      <c r="B360" s="4" t="s">
        <v>267</v>
      </c>
      <c r="C360" s="4" t="s">
        <v>260</v>
      </c>
      <c r="D360" s="4" t="s">
        <v>275</v>
      </c>
      <c r="E360" s="4" t="s">
        <v>433</v>
      </c>
      <c r="F360" s="4"/>
      <c r="G360" s="53">
        <f>'Прилож №7'!H524</f>
        <v>26982.2</v>
      </c>
      <c r="H360" s="53">
        <f>'Прилож №7'!I524</f>
        <v>0</v>
      </c>
      <c r="I360" s="53">
        <f>'Прилож №7'!J524</f>
        <v>26982.2</v>
      </c>
      <c r="J360" s="53">
        <f>'Прилож №7'!K524</f>
        <v>0</v>
      </c>
      <c r="K360" s="83"/>
    </row>
    <row r="361" spans="1:11" ht="14.25">
      <c r="A361" s="2" t="s">
        <v>82</v>
      </c>
      <c r="B361" s="4" t="s">
        <v>267</v>
      </c>
      <c r="C361" s="4" t="s">
        <v>260</v>
      </c>
      <c r="D361" s="4" t="s">
        <v>79</v>
      </c>
      <c r="E361" s="4"/>
      <c r="F361" s="4"/>
      <c r="G361" s="53">
        <f>G362</f>
        <v>15403</v>
      </c>
      <c r="H361" s="53">
        <f aca="true" t="shared" si="21" ref="H361:J362">H362</f>
        <v>15403</v>
      </c>
      <c r="I361" s="53">
        <f t="shared" si="21"/>
        <v>15403</v>
      </c>
      <c r="J361" s="53">
        <f t="shared" si="21"/>
        <v>15403</v>
      </c>
      <c r="K361" s="83"/>
    </row>
    <row r="362" spans="1:11" ht="14.25">
      <c r="A362" s="2" t="s">
        <v>81</v>
      </c>
      <c r="B362" s="4" t="s">
        <v>267</v>
      </c>
      <c r="C362" s="4" t="s">
        <v>260</v>
      </c>
      <c r="D362" s="4" t="s">
        <v>80</v>
      </c>
      <c r="E362" s="4"/>
      <c r="F362" s="4"/>
      <c r="G362" s="53">
        <f>G363</f>
        <v>15403</v>
      </c>
      <c r="H362" s="53">
        <f t="shared" si="21"/>
        <v>15403</v>
      </c>
      <c r="I362" s="53">
        <f t="shared" si="21"/>
        <v>15403</v>
      </c>
      <c r="J362" s="53">
        <f t="shared" si="21"/>
        <v>15403</v>
      </c>
      <c r="K362" s="83"/>
    </row>
    <row r="363" spans="1:11" ht="28.5">
      <c r="A363" s="2" t="s">
        <v>431</v>
      </c>
      <c r="B363" s="4" t="s">
        <v>267</v>
      </c>
      <c r="C363" s="4" t="s">
        <v>260</v>
      </c>
      <c r="D363" s="4" t="s">
        <v>80</v>
      </c>
      <c r="E363" s="4" t="s">
        <v>421</v>
      </c>
      <c r="F363" s="4"/>
      <c r="G363" s="53">
        <f>'Прилож №7'!H421</f>
        <v>15403</v>
      </c>
      <c r="H363" s="53">
        <f>'Прилож №7'!I421</f>
        <v>15403</v>
      </c>
      <c r="I363" s="53">
        <f>'Прилож №7'!J421</f>
        <v>15403</v>
      </c>
      <c r="J363" s="53">
        <f>'Прилож №7'!K421</f>
        <v>15403</v>
      </c>
      <c r="K363" s="83"/>
    </row>
    <row r="364" spans="1:11" ht="14.25">
      <c r="A364" s="8" t="s">
        <v>220</v>
      </c>
      <c r="B364" s="4" t="s">
        <v>267</v>
      </c>
      <c r="C364" s="4" t="s">
        <v>260</v>
      </c>
      <c r="D364" s="4" t="s">
        <v>200</v>
      </c>
      <c r="E364" s="4"/>
      <c r="F364" s="6"/>
      <c r="G364" s="53">
        <f>G369+G365</f>
        <v>6883</v>
      </c>
      <c r="H364" s="53">
        <f>H369+H365</f>
        <v>6883</v>
      </c>
      <c r="I364" s="53">
        <f>I369+I365</f>
        <v>6867.8</v>
      </c>
      <c r="J364" s="53">
        <f>J369+J365</f>
        <v>6867.8</v>
      </c>
      <c r="K364" s="83"/>
    </row>
    <row r="365" spans="1:11" ht="85.5">
      <c r="A365" s="2" t="s">
        <v>59</v>
      </c>
      <c r="B365" s="4" t="s">
        <v>267</v>
      </c>
      <c r="C365" s="4" t="s">
        <v>260</v>
      </c>
      <c r="D365" s="4" t="s">
        <v>58</v>
      </c>
      <c r="E365" s="4"/>
      <c r="F365" s="6"/>
      <c r="G365" s="53">
        <f>G366</f>
        <v>2175</v>
      </c>
      <c r="H365" s="53">
        <f>H366</f>
        <v>2175</v>
      </c>
      <c r="I365" s="53">
        <f>I366</f>
        <v>2175</v>
      </c>
      <c r="J365" s="53">
        <f>J366</f>
        <v>2175</v>
      </c>
      <c r="K365" s="83"/>
    </row>
    <row r="366" spans="1:11" ht="28.5">
      <c r="A366" s="2" t="s">
        <v>57</v>
      </c>
      <c r="B366" s="4" t="s">
        <v>267</v>
      </c>
      <c r="C366" s="4" t="s">
        <v>260</v>
      </c>
      <c r="D366" s="4" t="s">
        <v>56</v>
      </c>
      <c r="E366" s="4"/>
      <c r="F366" s="6"/>
      <c r="G366" s="53">
        <f>G367+G368</f>
        <v>2175</v>
      </c>
      <c r="H366" s="53">
        <f>H367+H368</f>
        <v>2175</v>
      </c>
      <c r="I366" s="53">
        <f>I367+I368</f>
        <v>2175</v>
      </c>
      <c r="J366" s="53">
        <f>J367+J368</f>
        <v>2175</v>
      </c>
      <c r="K366" s="83"/>
    </row>
    <row r="367" spans="1:11" ht="14.25">
      <c r="A367" s="7" t="s">
        <v>399</v>
      </c>
      <c r="B367" s="4" t="s">
        <v>267</v>
      </c>
      <c r="C367" s="4" t="s">
        <v>260</v>
      </c>
      <c r="D367" s="4" t="s">
        <v>56</v>
      </c>
      <c r="E367" s="6" t="s">
        <v>398</v>
      </c>
      <c r="F367" s="6" t="s">
        <v>398</v>
      </c>
      <c r="G367" s="53">
        <f>'Прилож №7'!H428</f>
        <v>1200</v>
      </c>
      <c r="H367" s="53">
        <f>'Прилож №7'!I428</f>
        <v>1200</v>
      </c>
      <c r="I367" s="53">
        <f>'Прилож №7'!J428</f>
        <v>1200</v>
      </c>
      <c r="J367" s="53">
        <f>'Прилож №7'!K428</f>
        <v>1200</v>
      </c>
      <c r="K367" s="83"/>
    </row>
    <row r="368" spans="1:11" ht="14.25">
      <c r="A368" s="7" t="s">
        <v>428</v>
      </c>
      <c r="B368" s="4" t="s">
        <v>267</v>
      </c>
      <c r="C368" s="4" t="s">
        <v>260</v>
      </c>
      <c r="D368" s="4" t="s">
        <v>56</v>
      </c>
      <c r="E368" s="6" t="s">
        <v>427</v>
      </c>
      <c r="F368" s="6" t="s">
        <v>427</v>
      </c>
      <c r="G368" s="53">
        <f>'Прилож №7'!H429+'Прилож №7'!H528</f>
        <v>975</v>
      </c>
      <c r="H368" s="53">
        <f>'Прилож №7'!I429+'Прилож №7'!I528</f>
        <v>975</v>
      </c>
      <c r="I368" s="53">
        <f>'Прилож №7'!J429+'Прилож №7'!J528</f>
        <v>975</v>
      </c>
      <c r="J368" s="53">
        <f>'Прилож №7'!K429+'Прилож №7'!K528</f>
        <v>975</v>
      </c>
      <c r="K368" s="83"/>
    </row>
    <row r="369" spans="1:11" ht="28.5">
      <c r="A369" s="2" t="s">
        <v>29</v>
      </c>
      <c r="B369" s="4" t="s">
        <v>267</v>
      </c>
      <c r="C369" s="4" t="s">
        <v>260</v>
      </c>
      <c r="D369" s="4" t="s">
        <v>28</v>
      </c>
      <c r="E369" s="4"/>
      <c r="F369" s="6"/>
      <c r="G369" s="53">
        <f>G370+G371</f>
        <v>4708</v>
      </c>
      <c r="H369" s="53">
        <f>H370+H371</f>
        <v>4708</v>
      </c>
      <c r="I369" s="53">
        <f>I370+I371</f>
        <v>4692.8</v>
      </c>
      <c r="J369" s="53">
        <f>J370+J371</f>
        <v>4692.8</v>
      </c>
      <c r="K369" s="83"/>
    </row>
    <row r="370" spans="1:11" ht="14.25">
      <c r="A370" s="7" t="s">
        <v>399</v>
      </c>
      <c r="B370" s="4" t="s">
        <v>267</v>
      </c>
      <c r="C370" s="4" t="s">
        <v>260</v>
      </c>
      <c r="D370" s="4" t="s">
        <v>28</v>
      </c>
      <c r="E370" s="4" t="s">
        <v>433</v>
      </c>
      <c r="F370" s="6" t="s">
        <v>402</v>
      </c>
      <c r="G370" s="53">
        <f>'Прилож №7'!H424</f>
        <v>821.6</v>
      </c>
      <c r="H370" s="53">
        <f>'Прилож №7'!I424</f>
        <v>821.6</v>
      </c>
      <c r="I370" s="53">
        <f>'Прилож №7'!J424</f>
        <v>806.5</v>
      </c>
      <c r="J370" s="53">
        <f>'Прилож №7'!K424</f>
        <v>806.5</v>
      </c>
      <c r="K370" s="83"/>
    </row>
    <row r="371" spans="1:11" ht="14.25">
      <c r="A371" s="7" t="s">
        <v>428</v>
      </c>
      <c r="B371" s="4" t="s">
        <v>267</v>
      </c>
      <c r="C371" s="4" t="s">
        <v>260</v>
      </c>
      <c r="D371" s="4" t="s">
        <v>28</v>
      </c>
      <c r="E371" s="4" t="s">
        <v>427</v>
      </c>
      <c r="F371" s="6" t="s">
        <v>398</v>
      </c>
      <c r="G371" s="53">
        <f>'Прилож №7'!H425</f>
        <v>3886.4</v>
      </c>
      <c r="H371" s="53">
        <f>'Прилож №7'!I425</f>
        <v>3886.4</v>
      </c>
      <c r="I371" s="53">
        <f>'Прилож №7'!J425</f>
        <v>3886.3</v>
      </c>
      <c r="J371" s="53">
        <f>'Прилож №7'!K425</f>
        <v>3886.3</v>
      </c>
      <c r="K371" s="83"/>
    </row>
    <row r="372" spans="1:11" ht="14.25">
      <c r="A372" s="7" t="s">
        <v>530</v>
      </c>
      <c r="B372" s="4" t="s">
        <v>267</v>
      </c>
      <c r="C372" s="4" t="s">
        <v>260</v>
      </c>
      <c r="D372" s="4" t="s">
        <v>528</v>
      </c>
      <c r="E372" s="4"/>
      <c r="F372" s="6"/>
      <c r="G372" s="53">
        <f>G373</f>
        <v>4142.6</v>
      </c>
      <c r="H372" s="53">
        <f aca="true" t="shared" si="22" ref="H372:J373">H373</f>
        <v>4142.6</v>
      </c>
      <c r="I372" s="53">
        <f t="shared" si="22"/>
        <v>4142.6</v>
      </c>
      <c r="J372" s="53">
        <f t="shared" si="22"/>
        <v>4142.6</v>
      </c>
      <c r="K372" s="83"/>
    </row>
    <row r="373" spans="1:11" ht="42.75">
      <c r="A373" s="7" t="s">
        <v>118</v>
      </c>
      <c r="B373" s="4" t="s">
        <v>267</v>
      </c>
      <c r="C373" s="4" t="s">
        <v>260</v>
      </c>
      <c r="D373" s="4" t="s">
        <v>115</v>
      </c>
      <c r="E373" s="4"/>
      <c r="F373" s="6"/>
      <c r="G373" s="53">
        <f>G374</f>
        <v>4142.6</v>
      </c>
      <c r="H373" s="53">
        <f t="shared" si="22"/>
        <v>4142.6</v>
      </c>
      <c r="I373" s="53">
        <f t="shared" si="22"/>
        <v>4142.6</v>
      </c>
      <c r="J373" s="53">
        <f t="shared" si="22"/>
        <v>4142.6</v>
      </c>
      <c r="K373" s="83"/>
    </row>
    <row r="374" spans="1:11" ht="57">
      <c r="A374" s="7" t="s">
        <v>117</v>
      </c>
      <c r="B374" s="4" t="s">
        <v>267</v>
      </c>
      <c r="C374" s="4" t="s">
        <v>260</v>
      </c>
      <c r="D374" s="4" t="s">
        <v>116</v>
      </c>
      <c r="E374" s="4"/>
      <c r="F374" s="6"/>
      <c r="G374" s="53">
        <f>G375+G376</f>
        <v>4142.6</v>
      </c>
      <c r="H374" s="53">
        <f>H375+H376</f>
        <v>4142.6</v>
      </c>
      <c r="I374" s="53">
        <f>I375+I376</f>
        <v>4142.6</v>
      </c>
      <c r="J374" s="53">
        <f>J375+J376</f>
        <v>4142.6</v>
      </c>
      <c r="K374" s="83"/>
    </row>
    <row r="375" spans="1:11" ht="42.75">
      <c r="A375" s="2" t="s">
        <v>429</v>
      </c>
      <c r="B375" s="4" t="s">
        <v>267</v>
      </c>
      <c r="C375" s="4" t="s">
        <v>260</v>
      </c>
      <c r="D375" s="4" t="s">
        <v>116</v>
      </c>
      <c r="E375" s="6" t="s">
        <v>402</v>
      </c>
      <c r="F375" s="6" t="s">
        <v>402</v>
      </c>
      <c r="G375" s="53">
        <f>'Прилож №7'!H433+'Прилож №7'!H532</f>
        <v>3100.3</v>
      </c>
      <c r="H375" s="53">
        <f>'Прилож №7'!I433+'Прилож №7'!I532</f>
        <v>3100.3</v>
      </c>
      <c r="I375" s="53">
        <f>'Прилож №7'!J433+'Прилож №7'!J532</f>
        <v>3100.3</v>
      </c>
      <c r="J375" s="53">
        <f>'Прилож №7'!K433+'Прилож №7'!K532</f>
        <v>3100.3</v>
      </c>
      <c r="K375" s="83"/>
    </row>
    <row r="376" spans="1:11" ht="42.75">
      <c r="A376" s="7" t="s">
        <v>434</v>
      </c>
      <c r="B376" s="4" t="s">
        <v>267</v>
      </c>
      <c r="C376" s="4" t="s">
        <v>260</v>
      </c>
      <c r="D376" s="4" t="s">
        <v>116</v>
      </c>
      <c r="E376" s="6" t="s">
        <v>433</v>
      </c>
      <c r="F376" s="6" t="s">
        <v>433</v>
      </c>
      <c r="G376" s="53">
        <f>'Прилож №7'!H533</f>
        <v>1042.3</v>
      </c>
      <c r="H376" s="53">
        <f>'Прилож №7'!I533</f>
        <v>1042.3</v>
      </c>
      <c r="I376" s="53">
        <f>'Прилож №7'!J533</f>
        <v>1042.3</v>
      </c>
      <c r="J376" s="53">
        <f>'Прилож №7'!K533</f>
        <v>1042.3</v>
      </c>
      <c r="K376" s="83"/>
    </row>
    <row r="377" spans="1:11" ht="42.75">
      <c r="A377" s="2" t="s">
        <v>516</v>
      </c>
      <c r="B377" s="4" t="s">
        <v>267</v>
      </c>
      <c r="C377" s="4" t="s">
        <v>260</v>
      </c>
      <c r="D377" s="4" t="s">
        <v>513</v>
      </c>
      <c r="E377" s="4"/>
      <c r="F377" s="4"/>
      <c r="G377" s="53">
        <f>G378+G387+G381+G383+G385</f>
        <v>22394</v>
      </c>
      <c r="H377" s="53">
        <f>H378+H387+H381+H383+H385</f>
        <v>22394</v>
      </c>
      <c r="I377" s="53">
        <f>I378+I387+I381+I383+I385</f>
        <v>22394</v>
      </c>
      <c r="J377" s="53">
        <f>J378+J387+J381+J383+J385</f>
        <v>22394</v>
      </c>
      <c r="K377" s="83"/>
    </row>
    <row r="378" spans="1:11" ht="14.25">
      <c r="A378" s="7" t="s">
        <v>520</v>
      </c>
      <c r="B378" s="4" t="s">
        <v>267</v>
      </c>
      <c r="C378" s="4" t="s">
        <v>260</v>
      </c>
      <c r="D378" s="4" t="s">
        <v>517</v>
      </c>
      <c r="E378" s="4"/>
      <c r="F378" s="4"/>
      <c r="G378" s="53">
        <f>G379+G380</f>
        <v>263</v>
      </c>
      <c r="H378" s="53">
        <f>H379+H380</f>
        <v>263</v>
      </c>
      <c r="I378" s="53">
        <f>I379+I380</f>
        <v>263</v>
      </c>
      <c r="J378" s="53">
        <f>J379+J380</f>
        <v>263</v>
      </c>
      <c r="K378" s="83"/>
    </row>
    <row r="379" spans="1:11" ht="42.75">
      <c r="A379" s="2" t="s">
        <v>429</v>
      </c>
      <c r="B379" s="4" t="s">
        <v>267</v>
      </c>
      <c r="C379" s="4" t="s">
        <v>260</v>
      </c>
      <c r="D379" s="4" t="s">
        <v>517</v>
      </c>
      <c r="E379" s="4" t="s">
        <v>402</v>
      </c>
      <c r="F379" s="4"/>
      <c r="G379" s="53">
        <f>'Прилож №7'!H436</f>
        <v>104.80000000000001</v>
      </c>
      <c r="H379" s="53">
        <f>'Прилож №7'!I436</f>
        <v>104.80000000000001</v>
      </c>
      <c r="I379" s="53">
        <f>'Прилож №7'!J436</f>
        <v>104.8</v>
      </c>
      <c r="J379" s="53">
        <f>'Прилож №7'!K436</f>
        <v>104.8</v>
      </c>
      <c r="K379" s="83"/>
    </row>
    <row r="380" spans="1:11" ht="42.75">
      <c r="A380" s="7" t="s">
        <v>434</v>
      </c>
      <c r="B380" s="4" t="s">
        <v>267</v>
      </c>
      <c r="C380" s="4" t="s">
        <v>260</v>
      </c>
      <c r="D380" s="4" t="s">
        <v>517</v>
      </c>
      <c r="E380" s="4" t="s">
        <v>433</v>
      </c>
      <c r="F380" s="4"/>
      <c r="G380" s="53">
        <f>'Прилож №7'!H437</f>
        <v>158.2</v>
      </c>
      <c r="H380" s="53">
        <f>'Прилож №7'!I437</f>
        <v>158.2</v>
      </c>
      <c r="I380" s="53">
        <f>'Прилож №7'!J437</f>
        <v>158.2</v>
      </c>
      <c r="J380" s="53">
        <f>'Прилож №7'!K437</f>
        <v>158.2</v>
      </c>
      <c r="K380" s="83"/>
    </row>
    <row r="381" spans="1:11" ht="71.25">
      <c r="A381" s="7" t="s">
        <v>63</v>
      </c>
      <c r="B381" s="4" t="s">
        <v>267</v>
      </c>
      <c r="C381" s="4" t="s">
        <v>260</v>
      </c>
      <c r="D381" s="4" t="s">
        <v>62</v>
      </c>
      <c r="E381" s="4"/>
      <c r="F381" s="4"/>
      <c r="G381" s="53">
        <f>G382</f>
        <v>1100</v>
      </c>
      <c r="H381" s="53">
        <f>H382</f>
        <v>1100</v>
      </c>
      <c r="I381" s="53">
        <f>I382</f>
        <v>1100</v>
      </c>
      <c r="J381" s="53">
        <f>J382</f>
        <v>1100</v>
      </c>
      <c r="K381" s="83"/>
    </row>
    <row r="382" spans="1:11" ht="28.5">
      <c r="A382" s="2" t="s">
        <v>431</v>
      </c>
      <c r="B382" s="4" t="s">
        <v>267</v>
      </c>
      <c r="C382" s="4" t="s">
        <v>260</v>
      </c>
      <c r="D382" s="4" t="s">
        <v>62</v>
      </c>
      <c r="E382" s="4" t="s">
        <v>421</v>
      </c>
      <c r="F382" s="4"/>
      <c r="G382" s="53">
        <f>'Прилож №7'!H439</f>
        <v>1100</v>
      </c>
      <c r="H382" s="53">
        <f>'Прилож №7'!I439</f>
        <v>1100</v>
      </c>
      <c r="I382" s="53">
        <f>'Прилож №7'!J439</f>
        <v>1100</v>
      </c>
      <c r="J382" s="53">
        <f>'Прилож №7'!K439</f>
        <v>1100</v>
      </c>
      <c r="K382" s="83"/>
    </row>
    <row r="383" spans="1:11" ht="85.5">
      <c r="A383" s="7" t="s">
        <v>64</v>
      </c>
      <c r="B383" s="4" t="s">
        <v>267</v>
      </c>
      <c r="C383" s="4" t="s">
        <v>260</v>
      </c>
      <c r="D383" s="4" t="s">
        <v>65</v>
      </c>
      <c r="E383" s="4"/>
      <c r="F383" s="4"/>
      <c r="G383" s="53">
        <f>G384</f>
        <v>1000</v>
      </c>
      <c r="H383" s="53">
        <f>H384</f>
        <v>1000</v>
      </c>
      <c r="I383" s="53">
        <f>I384</f>
        <v>1000</v>
      </c>
      <c r="J383" s="53">
        <f>J384</f>
        <v>1000</v>
      </c>
      <c r="K383" s="83"/>
    </row>
    <row r="384" spans="1:11" ht="28.5">
      <c r="A384" s="2" t="s">
        <v>431</v>
      </c>
      <c r="B384" s="4" t="s">
        <v>267</v>
      </c>
      <c r="C384" s="4" t="s">
        <v>260</v>
      </c>
      <c r="D384" s="4" t="s">
        <v>65</v>
      </c>
      <c r="E384" s="4" t="s">
        <v>421</v>
      </c>
      <c r="F384" s="4"/>
      <c r="G384" s="53">
        <f>'Прилож №7'!H441</f>
        <v>1000</v>
      </c>
      <c r="H384" s="53">
        <f>'Прилож №7'!I441</f>
        <v>1000</v>
      </c>
      <c r="I384" s="53">
        <f>'Прилож №7'!J441</f>
        <v>1000</v>
      </c>
      <c r="J384" s="53">
        <f>'Прилож №7'!K441</f>
        <v>1000</v>
      </c>
      <c r="K384" s="83"/>
    </row>
    <row r="385" spans="1:11" ht="57">
      <c r="A385" s="2" t="s">
        <v>21</v>
      </c>
      <c r="B385" s="4" t="s">
        <v>267</v>
      </c>
      <c r="C385" s="4" t="s">
        <v>260</v>
      </c>
      <c r="D385" s="4" t="s">
        <v>20</v>
      </c>
      <c r="E385" s="4"/>
      <c r="F385" s="4"/>
      <c r="G385" s="53">
        <f>G386</f>
        <v>1000</v>
      </c>
      <c r="H385" s="53">
        <f>H386</f>
        <v>1000</v>
      </c>
      <c r="I385" s="53">
        <f>I386</f>
        <v>1000</v>
      </c>
      <c r="J385" s="53">
        <f>J386</f>
        <v>1000</v>
      </c>
      <c r="K385" s="83"/>
    </row>
    <row r="386" spans="1:11" ht="28.5">
      <c r="A386" s="2" t="s">
        <v>431</v>
      </c>
      <c r="B386" s="4" t="s">
        <v>267</v>
      </c>
      <c r="C386" s="4" t="s">
        <v>260</v>
      </c>
      <c r="D386" s="4" t="s">
        <v>20</v>
      </c>
      <c r="E386" s="4" t="s">
        <v>421</v>
      </c>
      <c r="F386" s="4"/>
      <c r="G386" s="53">
        <f>'Прилож №7'!H443</f>
        <v>1000</v>
      </c>
      <c r="H386" s="53">
        <f>'Прилож №7'!I443</f>
        <v>1000</v>
      </c>
      <c r="I386" s="53">
        <f>'Прилож №7'!J443</f>
        <v>1000</v>
      </c>
      <c r="J386" s="53">
        <f>'Прилож №7'!K443</f>
        <v>1000</v>
      </c>
      <c r="K386" s="83"/>
    </row>
    <row r="387" spans="1:11" ht="57">
      <c r="A387" s="7" t="str">
        <f>'Прилож №7'!A444</f>
        <v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v>
      </c>
      <c r="B387" s="4" t="s">
        <v>267</v>
      </c>
      <c r="C387" s="4" t="s">
        <v>260</v>
      </c>
      <c r="D387" s="4" t="s">
        <v>585</v>
      </c>
      <c r="E387" s="4"/>
      <c r="F387" s="6"/>
      <c r="G387" s="53">
        <f>G388+G389</f>
        <v>19031</v>
      </c>
      <c r="H387" s="53">
        <f>H388+H389</f>
        <v>19031</v>
      </c>
      <c r="I387" s="53">
        <f>I388+I389</f>
        <v>19031</v>
      </c>
      <c r="J387" s="53">
        <f>J388+J389</f>
        <v>19031</v>
      </c>
      <c r="K387" s="83"/>
    </row>
    <row r="388" spans="1:11" ht="14.25">
      <c r="A388" s="7" t="s">
        <v>399</v>
      </c>
      <c r="B388" s="4" t="s">
        <v>267</v>
      </c>
      <c r="C388" s="4" t="s">
        <v>260</v>
      </c>
      <c r="D388" s="4" t="s">
        <v>585</v>
      </c>
      <c r="E388" s="4" t="s">
        <v>398</v>
      </c>
      <c r="F388" s="6"/>
      <c r="G388" s="53">
        <f>'Прилож №7'!H445</f>
        <v>11331</v>
      </c>
      <c r="H388" s="53">
        <f>'Прилож №7'!I445</f>
        <v>11331</v>
      </c>
      <c r="I388" s="53">
        <f>'Прилож №7'!J445</f>
        <v>11331</v>
      </c>
      <c r="J388" s="53">
        <f>'Прилож №7'!K445</f>
        <v>11331</v>
      </c>
      <c r="K388" s="83"/>
    </row>
    <row r="389" spans="1:11" ht="14.25">
      <c r="A389" s="7" t="s">
        <v>428</v>
      </c>
      <c r="B389" s="4" t="s">
        <v>267</v>
      </c>
      <c r="C389" s="4" t="s">
        <v>260</v>
      </c>
      <c r="D389" s="4" t="s">
        <v>585</v>
      </c>
      <c r="E389" s="4" t="s">
        <v>427</v>
      </c>
      <c r="F389" s="6"/>
      <c r="G389" s="53">
        <f>'Прилож №7'!H446</f>
        <v>7700</v>
      </c>
      <c r="H389" s="53">
        <f>'Прилож №7'!I446</f>
        <v>7700</v>
      </c>
      <c r="I389" s="53">
        <f>'Прилож №7'!J446</f>
        <v>7700</v>
      </c>
      <c r="J389" s="53">
        <f>'Прилож №7'!K446</f>
        <v>7700</v>
      </c>
      <c r="K389" s="83"/>
    </row>
    <row r="390" spans="1:11" ht="14.25">
      <c r="A390" s="8" t="s">
        <v>223</v>
      </c>
      <c r="B390" s="4" t="s">
        <v>267</v>
      </c>
      <c r="C390" s="4" t="s">
        <v>260</v>
      </c>
      <c r="D390" s="4" t="s">
        <v>224</v>
      </c>
      <c r="E390" s="4"/>
      <c r="F390" s="4"/>
      <c r="G390" s="53">
        <f>G391</f>
        <v>33080.7</v>
      </c>
      <c r="H390" s="53">
        <f>H391</f>
        <v>0</v>
      </c>
      <c r="I390" s="53">
        <f>I391</f>
        <v>32993</v>
      </c>
      <c r="J390" s="53">
        <f>J391</f>
        <v>0</v>
      </c>
      <c r="K390" s="83"/>
    </row>
    <row r="391" spans="1:11" ht="28.5">
      <c r="A391" s="2" t="s">
        <v>479</v>
      </c>
      <c r="B391" s="4" t="s">
        <v>267</v>
      </c>
      <c r="C391" s="4" t="s">
        <v>260</v>
      </c>
      <c r="D391" s="4" t="s">
        <v>377</v>
      </c>
      <c r="E391" s="4"/>
      <c r="F391" s="6"/>
      <c r="G391" s="53">
        <f>G392+G393</f>
        <v>33080.7</v>
      </c>
      <c r="H391" s="53">
        <f>H392+H393</f>
        <v>0</v>
      </c>
      <c r="I391" s="53">
        <f>I392+I393</f>
        <v>32993</v>
      </c>
      <c r="J391" s="53">
        <f>J392+J393</f>
        <v>0</v>
      </c>
      <c r="K391" s="83"/>
    </row>
    <row r="392" spans="1:11" ht="14.25">
      <c r="A392" s="7" t="s">
        <v>399</v>
      </c>
      <c r="B392" s="4" t="s">
        <v>267</v>
      </c>
      <c r="C392" s="4" t="s">
        <v>260</v>
      </c>
      <c r="D392" s="4" t="s">
        <v>377</v>
      </c>
      <c r="E392" s="6" t="s">
        <v>398</v>
      </c>
      <c r="F392" s="6" t="s">
        <v>427</v>
      </c>
      <c r="G392" s="53">
        <f>'Прилож №7'!H449</f>
        <v>13475.5</v>
      </c>
      <c r="H392" s="53">
        <f>'Прилож №7'!I449</f>
        <v>0</v>
      </c>
      <c r="I392" s="53">
        <f>'Прилож №7'!J449</f>
        <v>13475.5</v>
      </c>
      <c r="J392" s="53">
        <f>'Прилож №7'!K449</f>
        <v>0</v>
      </c>
      <c r="K392" s="83"/>
    </row>
    <row r="393" spans="1:11" ht="14.25">
      <c r="A393" s="7" t="s">
        <v>428</v>
      </c>
      <c r="B393" s="4" t="s">
        <v>267</v>
      </c>
      <c r="C393" s="4" t="s">
        <v>260</v>
      </c>
      <c r="D393" s="4" t="s">
        <v>377</v>
      </c>
      <c r="E393" s="6" t="s">
        <v>427</v>
      </c>
      <c r="F393" s="4"/>
      <c r="G393" s="53">
        <f>'Прилож №7'!H450</f>
        <v>19605.2</v>
      </c>
      <c r="H393" s="53">
        <f>'Прилож №7'!I450</f>
        <v>0</v>
      </c>
      <c r="I393" s="53">
        <f>'Прилож №7'!J450</f>
        <v>19517.5</v>
      </c>
      <c r="J393" s="53">
        <f>'Прилож №7'!K450</f>
        <v>0</v>
      </c>
      <c r="K393" s="83"/>
    </row>
    <row r="394" spans="1:11" ht="15">
      <c r="A394" s="11" t="s">
        <v>159</v>
      </c>
      <c r="B394" s="3" t="s">
        <v>267</v>
      </c>
      <c r="C394" s="3" t="s">
        <v>267</v>
      </c>
      <c r="D394" s="3"/>
      <c r="E394" s="3"/>
      <c r="F394" s="3"/>
      <c r="G394" s="48">
        <f>G414+G395+G407+G403</f>
        <v>20462.4</v>
      </c>
      <c r="H394" s="48">
        <f>H414+H395+H407+H403</f>
        <v>9819</v>
      </c>
      <c r="I394" s="48">
        <f>I414+I395+I407+I403</f>
        <v>20214.5</v>
      </c>
      <c r="J394" s="48">
        <f>J414+J395+J407+J403</f>
        <v>9817.199999999999</v>
      </c>
      <c r="K394" s="63">
        <f>I394/G394*100</f>
        <v>98.78850965673624</v>
      </c>
    </row>
    <row r="395" spans="1:11" ht="15">
      <c r="A395" s="11" t="s">
        <v>198</v>
      </c>
      <c r="B395" s="4" t="s">
        <v>267</v>
      </c>
      <c r="C395" s="4" t="s">
        <v>267</v>
      </c>
      <c r="D395" s="4" t="s">
        <v>199</v>
      </c>
      <c r="E395" s="4"/>
      <c r="F395" s="6"/>
      <c r="G395" s="53">
        <f>G398+G400+G396</f>
        <v>4354.400000000001</v>
      </c>
      <c r="H395" s="53">
        <f>H398+H400+H396</f>
        <v>0</v>
      </c>
      <c r="I395" s="53">
        <f>I398+I400+I396</f>
        <v>4151.700000000001</v>
      </c>
      <c r="J395" s="53">
        <f>J398+J400+J396</f>
        <v>0</v>
      </c>
      <c r="K395" s="83"/>
    </row>
    <row r="396" spans="1:11" ht="14.25">
      <c r="A396" s="2" t="s">
        <v>572</v>
      </c>
      <c r="B396" s="4" t="s">
        <v>267</v>
      </c>
      <c r="C396" s="4" t="s">
        <v>267</v>
      </c>
      <c r="D396" s="4" t="s">
        <v>573</v>
      </c>
      <c r="E396" s="4"/>
      <c r="F396" s="6"/>
      <c r="G396" s="53">
        <f>G397</f>
        <v>142.5</v>
      </c>
      <c r="H396" s="53">
        <f>H397</f>
        <v>0</v>
      </c>
      <c r="I396" s="53">
        <f>I397</f>
        <v>112</v>
      </c>
      <c r="J396" s="53">
        <f>J397</f>
        <v>0</v>
      </c>
      <c r="K396" s="83"/>
    </row>
    <row r="397" spans="1:11" ht="28.5">
      <c r="A397" s="2" t="s">
        <v>431</v>
      </c>
      <c r="B397" s="4" t="s">
        <v>267</v>
      </c>
      <c r="C397" s="4" t="s">
        <v>267</v>
      </c>
      <c r="D397" s="4" t="s">
        <v>573</v>
      </c>
      <c r="E397" s="4" t="s">
        <v>421</v>
      </c>
      <c r="F397" s="6"/>
      <c r="G397" s="53">
        <f>'Прилож №7'!H537</f>
        <v>142.5</v>
      </c>
      <c r="H397" s="53">
        <f>'Прилож №7'!I537</f>
        <v>0</v>
      </c>
      <c r="I397" s="53">
        <f>'Прилож №7'!J537</f>
        <v>112</v>
      </c>
      <c r="J397" s="53">
        <f>'Прилож №7'!K537</f>
        <v>0</v>
      </c>
      <c r="K397" s="83"/>
    </row>
    <row r="398" spans="1:11" ht="15">
      <c r="A398" s="59" t="s">
        <v>363</v>
      </c>
      <c r="B398" s="4" t="s">
        <v>267</v>
      </c>
      <c r="C398" s="4" t="s">
        <v>267</v>
      </c>
      <c r="D398" s="4" t="s">
        <v>33</v>
      </c>
      <c r="E398" s="3"/>
      <c r="F398" s="6"/>
      <c r="G398" s="53">
        <f>G399</f>
        <v>28.3</v>
      </c>
      <c r="H398" s="53">
        <f>H399</f>
        <v>0</v>
      </c>
      <c r="I398" s="53">
        <f>I399</f>
        <v>28.3</v>
      </c>
      <c r="J398" s="53">
        <f>J399</f>
        <v>0</v>
      </c>
      <c r="K398" s="83"/>
    </row>
    <row r="399" spans="1:11" ht="42.75">
      <c r="A399" s="2" t="s">
        <v>429</v>
      </c>
      <c r="B399" s="4" t="s">
        <v>267</v>
      </c>
      <c r="C399" s="4" t="s">
        <v>267</v>
      </c>
      <c r="D399" s="4" t="s">
        <v>33</v>
      </c>
      <c r="E399" s="4" t="s">
        <v>402</v>
      </c>
      <c r="F399" s="6" t="s">
        <v>402</v>
      </c>
      <c r="G399" s="53">
        <f>'Прилож №7'!H539</f>
        <v>28.3</v>
      </c>
      <c r="H399" s="53">
        <f>'Прилож №7'!I539</f>
        <v>0</v>
      </c>
      <c r="I399" s="53">
        <f>'Прилож №7'!J539</f>
        <v>28.3</v>
      </c>
      <c r="J399" s="53">
        <f>'Прилож №7'!K539</f>
        <v>0</v>
      </c>
      <c r="K399" s="83"/>
    </row>
    <row r="400" spans="1:11" ht="14.25">
      <c r="A400" s="8" t="s">
        <v>157</v>
      </c>
      <c r="B400" s="4" t="s">
        <v>267</v>
      </c>
      <c r="C400" s="4" t="s">
        <v>267</v>
      </c>
      <c r="D400" s="4" t="s">
        <v>317</v>
      </c>
      <c r="E400" s="4"/>
      <c r="F400" s="6" t="s">
        <v>402</v>
      </c>
      <c r="G400" s="53">
        <f>G401+G402</f>
        <v>4183.6</v>
      </c>
      <c r="H400" s="53">
        <f>H401+H402</f>
        <v>0</v>
      </c>
      <c r="I400" s="53">
        <f>I401+I402</f>
        <v>4011.4</v>
      </c>
      <c r="J400" s="53">
        <f>J401+J402</f>
        <v>0</v>
      </c>
      <c r="K400" s="83"/>
    </row>
    <row r="401" spans="1:11" ht="43.5">
      <c r="A401" s="2" t="s">
        <v>429</v>
      </c>
      <c r="B401" s="4" t="s">
        <v>267</v>
      </c>
      <c r="C401" s="4" t="s">
        <v>267</v>
      </c>
      <c r="D401" s="4" t="s">
        <v>317</v>
      </c>
      <c r="E401" s="4" t="s">
        <v>402</v>
      </c>
      <c r="F401" s="3"/>
      <c r="G401" s="53">
        <f>'Прилож №7'!H541</f>
        <v>4183.6</v>
      </c>
      <c r="H401" s="53">
        <f>'Прилож №7'!I541</f>
        <v>0</v>
      </c>
      <c r="I401" s="53">
        <f>'Прилож №7'!J541</f>
        <v>4011.4</v>
      </c>
      <c r="J401" s="53">
        <f>'Прилож №7'!K541</f>
        <v>0</v>
      </c>
      <c r="K401" s="83"/>
    </row>
    <row r="402" spans="1:11" ht="15">
      <c r="A402" s="7" t="s">
        <v>399</v>
      </c>
      <c r="B402" s="4" t="s">
        <v>267</v>
      </c>
      <c r="C402" s="4" t="s">
        <v>267</v>
      </c>
      <c r="D402" s="4" t="s">
        <v>317</v>
      </c>
      <c r="E402" s="4" t="s">
        <v>398</v>
      </c>
      <c r="F402" s="3"/>
      <c r="G402" s="53">
        <f>'Прилож №7'!H542</f>
        <v>0</v>
      </c>
      <c r="H402" s="53">
        <f>'Прилож №7'!I542</f>
        <v>0</v>
      </c>
      <c r="I402" s="53">
        <f>'Прилож №7'!J542</f>
        <v>0</v>
      </c>
      <c r="J402" s="53">
        <f>'Прилож №7'!K542</f>
        <v>0</v>
      </c>
      <c r="K402" s="83"/>
    </row>
    <row r="403" spans="1:11" ht="15">
      <c r="A403" s="8" t="s">
        <v>220</v>
      </c>
      <c r="B403" s="4" t="s">
        <v>267</v>
      </c>
      <c r="C403" s="4" t="s">
        <v>267</v>
      </c>
      <c r="D403" s="4" t="s">
        <v>200</v>
      </c>
      <c r="E403" s="4"/>
      <c r="F403" s="3"/>
      <c r="G403" s="53">
        <f aca="true" t="shared" si="23" ref="G403:J405">G404</f>
        <v>100</v>
      </c>
      <c r="H403" s="53">
        <f t="shared" si="23"/>
        <v>100</v>
      </c>
      <c r="I403" s="53">
        <f t="shared" si="23"/>
        <v>100</v>
      </c>
      <c r="J403" s="53">
        <f t="shared" si="23"/>
        <v>100</v>
      </c>
      <c r="K403" s="83"/>
    </row>
    <row r="404" spans="1:11" ht="86.25">
      <c r="A404" s="2" t="s">
        <v>59</v>
      </c>
      <c r="B404" s="4" t="s">
        <v>267</v>
      </c>
      <c r="C404" s="4" t="s">
        <v>267</v>
      </c>
      <c r="D404" s="4" t="s">
        <v>58</v>
      </c>
      <c r="E404" s="4"/>
      <c r="F404" s="3"/>
      <c r="G404" s="53">
        <f t="shared" si="23"/>
        <v>100</v>
      </c>
      <c r="H404" s="53">
        <f t="shared" si="23"/>
        <v>100</v>
      </c>
      <c r="I404" s="53">
        <f t="shared" si="23"/>
        <v>100</v>
      </c>
      <c r="J404" s="53">
        <f t="shared" si="23"/>
        <v>100</v>
      </c>
      <c r="K404" s="83"/>
    </row>
    <row r="405" spans="1:11" ht="29.25">
      <c r="A405" s="2" t="s">
        <v>57</v>
      </c>
      <c r="B405" s="4" t="s">
        <v>267</v>
      </c>
      <c r="C405" s="4" t="s">
        <v>267</v>
      </c>
      <c r="D405" s="4" t="s">
        <v>56</v>
      </c>
      <c r="E405" s="4"/>
      <c r="F405" s="3"/>
      <c r="G405" s="53">
        <f t="shared" si="23"/>
        <v>100</v>
      </c>
      <c r="H405" s="53">
        <f t="shared" si="23"/>
        <v>100</v>
      </c>
      <c r="I405" s="53">
        <f t="shared" si="23"/>
        <v>100</v>
      </c>
      <c r="J405" s="53">
        <f t="shared" si="23"/>
        <v>100</v>
      </c>
      <c r="K405" s="83"/>
    </row>
    <row r="406" spans="1:11" ht="15">
      <c r="A406" s="7" t="s">
        <v>399</v>
      </c>
      <c r="B406" s="4" t="s">
        <v>267</v>
      </c>
      <c r="C406" s="4" t="s">
        <v>267</v>
      </c>
      <c r="D406" s="4" t="s">
        <v>56</v>
      </c>
      <c r="E406" s="4" t="s">
        <v>398</v>
      </c>
      <c r="F406" s="3"/>
      <c r="G406" s="53">
        <f>'Прилож №7'!H545</f>
        <v>100</v>
      </c>
      <c r="H406" s="53">
        <f>'Прилож №7'!I545</f>
        <v>100</v>
      </c>
      <c r="I406" s="53">
        <f>'Прилож №7'!J545</f>
        <v>100</v>
      </c>
      <c r="J406" s="53">
        <f>'Прилож №7'!K545</f>
        <v>100</v>
      </c>
      <c r="K406" s="83"/>
    </row>
    <row r="407" spans="1:11" ht="14.25">
      <c r="A407" s="8" t="s">
        <v>530</v>
      </c>
      <c r="B407" s="4" t="s">
        <v>267</v>
      </c>
      <c r="C407" s="4" t="s">
        <v>267</v>
      </c>
      <c r="D407" s="4" t="s">
        <v>528</v>
      </c>
      <c r="E407" s="4"/>
      <c r="F407" s="6"/>
      <c r="G407" s="53">
        <f>G410+G408</f>
        <v>9719</v>
      </c>
      <c r="H407" s="53">
        <f>H410+H408</f>
        <v>9719</v>
      </c>
      <c r="I407" s="53">
        <f>I410+I408</f>
        <v>9717.199999999999</v>
      </c>
      <c r="J407" s="53">
        <f>J410+J408</f>
        <v>9717.199999999999</v>
      </c>
      <c r="K407" s="83"/>
    </row>
    <row r="408" spans="1:11" ht="28.5">
      <c r="A408" s="2" t="s">
        <v>310</v>
      </c>
      <c r="B408" s="4" t="s">
        <v>267</v>
      </c>
      <c r="C408" s="4" t="s">
        <v>267</v>
      </c>
      <c r="D408" s="4" t="s">
        <v>311</v>
      </c>
      <c r="E408" s="4"/>
      <c r="F408" s="6"/>
      <c r="G408" s="53">
        <f>'Прилож №7'!H548</f>
        <v>3056</v>
      </c>
      <c r="H408" s="53">
        <f>'Прилож №7'!I548</f>
        <v>3056</v>
      </c>
      <c r="I408" s="53">
        <f>'Прилож №7'!J548</f>
        <v>3056</v>
      </c>
      <c r="J408" s="53">
        <f>'Прилож №7'!K548</f>
        <v>3056</v>
      </c>
      <c r="K408" s="83"/>
    </row>
    <row r="409" spans="1:11" ht="42.75">
      <c r="A409" s="2" t="s">
        <v>429</v>
      </c>
      <c r="B409" s="4" t="s">
        <v>267</v>
      </c>
      <c r="C409" s="4" t="s">
        <v>267</v>
      </c>
      <c r="D409" s="4" t="s">
        <v>311</v>
      </c>
      <c r="E409" s="4" t="s">
        <v>402</v>
      </c>
      <c r="F409" s="6" t="s">
        <v>402</v>
      </c>
      <c r="G409" s="53">
        <f>'Прилож №7'!H549</f>
        <v>3056</v>
      </c>
      <c r="H409" s="53">
        <f>'Прилож №7'!I549</f>
        <v>3056</v>
      </c>
      <c r="I409" s="53">
        <f>'Прилож №7'!J549</f>
        <v>3056</v>
      </c>
      <c r="J409" s="53">
        <f>'Прилож №7'!K549</f>
        <v>3056</v>
      </c>
      <c r="K409" s="83"/>
    </row>
    <row r="410" spans="1:11" ht="42.75">
      <c r="A410" s="2" t="s">
        <v>60</v>
      </c>
      <c r="B410" s="4" t="s">
        <v>267</v>
      </c>
      <c r="C410" s="4" t="s">
        <v>267</v>
      </c>
      <c r="D410" s="4" t="s">
        <v>46</v>
      </c>
      <c r="E410" s="4"/>
      <c r="F410" s="6"/>
      <c r="G410" s="53">
        <f>G412+G413+G411</f>
        <v>6663</v>
      </c>
      <c r="H410" s="53">
        <f>H412+H413+H411</f>
        <v>6663</v>
      </c>
      <c r="I410" s="53">
        <f>I412+I413+I411</f>
        <v>6661.199999999999</v>
      </c>
      <c r="J410" s="53">
        <f>J412+J413+J411</f>
        <v>6661.199999999999</v>
      </c>
      <c r="K410" s="83"/>
    </row>
    <row r="411" spans="1:11" ht="28.5">
      <c r="A411" s="2" t="s">
        <v>431</v>
      </c>
      <c r="B411" s="4" t="s">
        <v>267</v>
      </c>
      <c r="C411" s="4" t="s">
        <v>267</v>
      </c>
      <c r="D411" s="4" t="s">
        <v>46</v>
      </c>
      <c r="E411" s="4" t="s">
        <v>421</v>
      </c>
      <c r="F411" s="6"/>
      <c r="G411" s="53">
        <f>'Прилож №7'!H551+'Прилож №7'!H454</f>
        <v>142.4</v>
      </c>
      <c r="H411" s="53">
        <f>'Прилож №7'!I551+'Прилож №7'!I454</f>
        <v>142.4</v>
      </c>
      <c r="I411" s="53">
        <f>'Прилож №7'!J551+'Прилож №7'!J454</f>
        <v>142.4</v>
      </c>
      <c r="J411" s="53">
        <f>'Прилож №7'!K551+'Прилож №7'!K454</f>
        <v>142.4</v>
      </c>
      <c r="K411" s="83"/>
    </row>
    <row r="412" spans="1:11" ht="14.25">
      <c r="A412" s="7" t="s">
        <v>399</v>
      </c>
      <c r="B412" s="4" t="s">
        <v>267</v>
      </c>
      <c r="C412" s="4" t="s">
        <v>267</v>
      </c>
      <c r="D412" s="4" t="s">
        <v>47</v>
      </c>
      <c r="E412" s="4" t="s">
        <v>398</v>
      </c>
      <c r="F412" s="6"/>
      <c r="G412" s="53">
        <f>'Прилож №7'!H455+'Прилож №7'!H552</f>
        <v>2893.9</v>
      </c>
      <c r="H412" s="53">
        <f>'Прилож №7'!I455+'Прилож №7'!I552</f>
        <v>2893.9</v>
      </c>
      <c r="I412" s="53">
        <f>'Прилож №7'!J455+'Прилож №7'!J552</f>
        <v>2892.1</v>
      </c>
      <c r="J412" s="53">
        <f>'Прилож №7'!K455+'Прилож №7'!K552</f>
        <v>2892.1</v>
      </c>
      <c r="K412" s="83"/>
    </row>
    <row r="413" spans="1:11" ht="14.25">
      <c r="A413" s="7" t="s">
        <v>428</v>
      </c>
      <c r="B413" s="4" t="s">
        <v>267</v>
      </c>
      <c r="C413" s="4" t="s">
        <v>267</v>
      </c>
      <c r="D413" s="4" t="s">
        <v>47</v>
      </c>
      <c r="E413" s="4" t="s">
        <v>427</v>
      </c>
      <c r="F413" s="6"/>
      <c r="G413" s="53">
        <f>'Прилож №7'!H456</f>
        <v>3626.7</v>
      </c>
      <c r="H413" s="53">
        <f>'Прилож №7'!I456</f>
        <v>3626.7</v>
      </c>
      <c r="I413" s="53">
        <f>'Прилож №7'!J456</f>
        <v>3626.7</v>
      </c>
      <c r="J413" s="53">
        <f>'Прилож №7'!K456</f>
        <v>3626.7</v>
      </c>
      <c r="K413" s="83"/>
    </row>
    <row r="414" spans="1:11" ht="14.25">
      <c r="A414" s="8" t="s">
        <v>223</v>
      </c>
      <c r="B414" s="4" t="s">
        <v>267</v>
      </c>
      <c r="C414" s="4" t="s">
        <v>267</v>
      </c>
      <c r="D414" s="4" t="s">
        <v>224</v>
      </c>
      <c r="E414" s="4"/>
      <c r="F414" s="6"/>
      <c r="G414" s="53">
        <f>G415+G418</f>
        <v>6289</v>
      </c>
      <c r="H414" s="53">
        <f>H415+H418</f>
        <v>0</v>
      </c>
      <c r="I414" s="53">
        <f>I415+I418</f>
        <v>6245.6</v>
      </c>
      <c r="J414" s="53">
        <f>J415+J418</f>
        <v>0</v>
      </c>
      <c r="K414" s="83"/>
    </row>
    <row r="415" spans="1:11" ht="28.5">
      <c r="A415" s="57" t="s">
        <v>351</v>
      </c>
      <c r="B415" s="4" t="s">
        <v>267</v>
      </c>
      <c r="C415" s="4" t="s">
        <v>267</v>
      </c>
      <c r="D415" s="4" t="s">
        <v>376</v>
      </c>
      <c r="E415" s="4"/>
      <c r="F415" s="6"/>
      <c r="G415" s="53">
        <f>G416+G417</f>
        <v>1595.1</v>
      </c>
      <c r="H415" s="53">
        <f>H416+H417</f>
        <v>0</v>
      </c>
      <c r="I415" s="53">
        <f>I416+I417</f>
        <v>1578.6</v>
      </c>
      <c r="J415" s="53">
        <f>J416+J417</f>
        <v>0</v>
      </c>
      <c r="K415" s="83"/>
    </row>
    <row r="416" spans="1:11" ht="28.5">
      <c r="A416" s="2" t="s">
        <v>431</v>
      </c>
      <c r="B416" s="4" t="s">
        <v>267</v>
      </c>
      <c r="C416" s="4" t="s">
        <v>267</v>
      </c>
      <c r="D416" s="4" t="s">
        <v>376</v>
      </c>
      <c r="E416" s="4" t="s">
        <v>421</v>
      </c>
      <c r="F416" s="6" t="s">
        <v>194</v>
      </c>
      <c r="G416" s="53">
        <f>'Прилож №7'!H260</f>
        <v>146</v>
      </c>
      <c r="H416" s="53">
        <f>'Прилож №7'!I260</f>
        <v>0</v>
      </c>
      <c r="I416" s="53">
        <f>'Прилож №7'!J260</f>
        <v>146</v>
      </c>
      <c r="J416" s="53">
        <f>'Прилож №7'!K260</f>
        <v>0</v>
      </c>
      <c r="K416" s="83"/>
    </row>
    <row r="417" spans="1:11" ht="14.25">
      <c r="A417" s="7" t="s">
        <v>399</v>
      </c>
      <c r="B417" s="4" t="s">
        <v>267</v>
      </c>
      <c r="C417" s="4" t="s">
        <v>267</v>
      </c>
      <c r="D417" s="4" t="s">
        <v>376</v>
      </c>
      <c r="E417" s="4" t="s">
        <v>398</v>
      </c>
      <c r="F417" s="6"/>
      <c r="G417" s="53">
        <f>'Прилож №7'!H555</f>
        <v>1449.1</v>
      </c>
      <c r="H417" s="53">
        <f>'Прилож №7'!I555</f>
        <v>0</v>
      </c>
      <c r="I417" s="53">
        <f>'Прилож №7'!J555</f>
        <v>1432.6</v>
      </c>
      <c r="J417" s="53">
        <f>'Прилож №7'!K555</f>
        <v>0</v>
      </c>
      <c r="K417" s="83"/>
    </row>
    <row r="418" spans="1:11" ht="28.5">
      <c r="A418" s="2" t="s">
        <v>380</v>
      </c>
      <c r="B418" s="4" t="s">
        <v>401</v>
      </c>
      <c r="C418" s="4" t="s">
        <v>267</v>
      </c>
      <c r="D418" s="4" t="s">
        <v>377</v>
      </c>
      <c r="E418" s="4"/>
      <c r="F418" s="6"/>
      <c r="G418" s="53">
        <f>G419+G420+G421</f>
        <v>4693.9</v>
      </c>
      <c r="H418" s="53">
        <f>H419+H420+H421</f>
        <v>0</v>
      </c>
      <c r="I418" s="53">
        <f>I419+I420+I421</f>
        <v>4667</v>
      </c>
      <c r="J418" s="53">
        <f>J419+J420+J421</f>
        <v>0</v>
      </c>
      <c r="K418" s="83"/>
    </row>
    <row r="419" spans="1:11" ht="28.5">
      <c r="A419" s="2" t="s">
        <v>431</v>
      </c>
      <c r="B419" s="4" t="s">
        <v>401</v>
      </c>
      <c r="C419" s="4" t="s">
        <v>267</v>
      </c>
      <c r="D419" s="4" t="s">
        <v>377</v>
      </c>
      <c r="E419" s="4" t="s">
        <v>421</v>
      </c>
      <c r="F419" s="6"/>
      <c r="G419" s="53">
        <f>'Прилож №7'!H459+'Прилож №7'!H557</f>
        <v>225.7999999999999</v>
      </c>
      <c r="H419" s="53">
        <f>'Прилож №7'!I459+'Прилож №7'!I557</f>
        <v>0</v>
      </c>
      <c r="I419" s="53">
        <f>'Прилож №7'!J459+'Прилож №7'!J557</f>
        <v>225.8</v>
      </c>
      <c r="J419" s="53">
        <f>'Прилож №7'!K459+'Прилож №7'!K557</f>
        <v>0</v>
      </c>
      <c r="K419" s="83"/>
    </row>
    <row r="420" spans="1:11" ht="14.25">
      <c r="A420" s="7" t="s">
        <v>399</v>
      </c>
      <c r="B420" s="4" t="s">
        <v>267</v>
      </c>
      <c r="C420" s="4" t="s">
        <v>267</v>
      </c>
      <c r="D420" s="4" t="s">
        <v>377</v>
      </c>
      <c r="E420" s="6" t="s">
        <v>398</v>
      </c>
      <c r="F420" s="6" t="s">
        <v>398</v>
      </c>
      <c r="G420" s="53">
        <f>'Прилож №7'!H460+'Прилож №7'!H558</f>
        <v>848.8</v>
      </c>
      <c r="H420" s="53">
        <f>'Прилож №7'!I460+'Прилож №7'!I558</f>
        <v>0</v>
      </c>
      <c r="I420" s="53">
        <f>'Прилож №7'!J460+'Прилож №7'!J558</f>
        <v>827.1</v>
      </c>
      <c r="J420" s="53">
        <f>'Прилож №7'!K460+'Прилож №7'!K558</f>
        <v>0</v>
      </c>
      <c r="K420" s="83"/>
    </row>
    <row r="421" spans="1:11" ht="14.25">
      <c r="A421" s="7" t="s">
        <v>428</v>
      </c>
      <c r="B421" s="4" t="s">
        <v>267</v>
      </c>
      <c r="C421" s="4" t="s">
        <v>267</v>
      </c>
      <c r="D421" s="4" t="s">
        <v>377</v>
      </c>
      <c r="E421" s="6" t="s">
        <v>427</v>
      </c>
      <c r="F421" s="6" t="s">
        <v>427</v>
      </c>
      <c r="G421" s="53">
        <f>'Прилож №7'!H461</f>
        <v>3619.3</v>
      </c>
      <c r="H421" s="53">
        <f>'Прилож №7'!I461</f>
        <v>0</v>
      </c>
      <c r="I421" s="53">
        <f>'Прилож №7'!J461</f>
        <v>3614.1</v>
      </c>
      <c r="J421" s="53">
        <f>'Прилож №7'!K461</f>
        <v>0</v>
      </c>
      <c r="K421" s="83"/>
    </row>
    <row r="422" spans="1:11" ht="15">
      <c r="A422" s="11" t="s">
        <v>162</v>
      </c>
      <c r="B422" s="3" t="s">
        <v>267</v>
      </c>
      <c r="C422" s="3" t="s">
        <v>265</v>
      </c>
      <c r="D422" s="3" t="s">
        <v>173</v>
      </c>
      <c r="E422" s="3" t="s">
        <v>175</v>
      </c>
      <c r="F422" s="3"/>
      <c r="G422" s="48">
        <f>G423+G441+G450+G434+G439+G447</f>
        <v>84809.90000000001</v>
      </c>
      <c r="H422" s="48">
        <f>H423+H441+H450+H434+H439+H447</f>
        <v>17316.6</v>
      </c>
      <c r="I422" s="48">
        <f>I423+I441+I450+I434+I439+I447</f>
        <v>80158.1</v>
      </c>
      <c r="J422" s="48">
        <f>J423+J441+J450+J434+J439+J447</f>
        <v>12690.6</v>
      </c>
      <c r="K422" s="63">
        <f>I422/G422*100</f>
        <v>94.51502713716205</v>
      </c>
    </row>
    <row r="423" spans="1:11" ht="42.75">
      <c r="A423" s="2" t="s">
        <v>296</v>
      </c>
      <c r="B423" s="4" t="s">
        <v>267</v>
      </c>
      <c r="C423" s="4" t="s">
        <v>265</v>
      </c>
      <c r="D423" s="4" t="s">
        <v>293</v>
      </c>
      <c r="E423" s="4"/>
      <c r="F423" s="4"/>
      <c r="G423" s="53">
        <f>G424</f>
        <v>14566.699999999999</v>
      </c>
      <c r="H423" s="53">
        <f>H424</f>
        <v>0</v>
      </c>
      <c r="I423" s="53">
        <f>I424</f>
        <v>14556.1</v>
      </c>
      <c r="J423" s="53">
        <f>J424</f>
        <v>0</v>
      </c>
      <c r="K423" s="83"/>
    </row>
    <row r="424" spans="1:11" ht="14.25">
      <c r="A424" s="2" t="s">
        <v>176</v>
      </c>
      <c r="B424" s="4" t="s">
        <v>267</v>
      </c>
      <c r="C424" s="4" t="s">
        <v>265</v>
      </c>
      <c r="D424" s="4" t="s">
        <v>295</v>
      </c>
      <c r="E424" s="4"/>
      <c r="F424" s="4"/>
      <c r="G424" s="53">
        <f>G425+G428+G431</f>
        <v>14566.699999999999</v>
      </c>
      <c r="H424" s="53">
        <f>H425+H428+H431</f>
        <v>0</v>
      </c>
      <c r="I424" s="53">
        <f>I425+I428+I431</f>
        <v>14556.1</v>
      </c>
      <c r="J424" s="53">
        <f>J425+J428+J431</f>
        <v>0</v>
      </c>
      <c r="K424" s="83"/>
    </row>
    <row r="425" spans="1:11" ht="14.25">
      <c r="A425" s="2" t="s">
        <v>525</v>
      </c>
      <c r="B425" s="4" t="s">
        <v>267</v>
      </c>
      <c r="C425" s="4" t="s">
        <v>265</v>
      </c>
      <c r="D425" s="4" t="s">
        <v>295</v>
      </c>
      <c r="E425" s="4" t="s">
        <v>393</v>
      </c>
      <c r="F425" s="4"/>
      <c r="G425" s="53">
        <f>G426+G427</f>
        <v>13506.9</v>
      </c>
      <c r="H425" s="53">
        <f>H426+H427</f>
        <v>0</v>
      </c>
      <c r="I425" s="53">
        <f>I426+I427</f>
        <v>13506.9</v>
      </c>
      <c r="J425" s="53">
        <f>J426+J427</f>
        <v>0</v>
      </c>
      <c r="K425" s="83"/>
    </row>
    <row r="426" spans="1:11" ht="14.25">
      <c r="A426" s="8" t="s">
        <v>415</v>
      </c>
      <c r="B426" s="4" t="s">
        <v>267</v>
      </c>
      <c r="C426" s="4" t="s">
        <v>265</v>
      </c>
      <c r="D426" s="4" t="s">
        <v>295</v>
      </c>
      <c r="E426" s="4" t="s">
        <v>414</v>
      </c>
      <c r="F426" s="4"/>
      <c r="G426" s="53">
        <f>'Прилож №7'!H466</f>
        <v>13505.8</v>
      </c>
      <c r="H426" s="53">
        <f>'Прилож №7'!I466</f>
        <v>0</v>
      </c>
      <c r="I426" s="53">
        <f>'Прилож №7'!J466</f>
        <v>13505.8</v>
      </c>
      <c r="J426" s="53">
        <f>'Прилож №7'!K466</f>
        <v>0</v>
      </c>
      <c r="K426" s="83"/>
    </row>
    <row r="427" spans="1:11" ht="14.25">
      <c r="A427" s="8" t="s">
        <v>417</v>
      </c>
      <c r="B427" s="4" t="s">
        <v>267</v>
      </c>
      <c r="C427" s="4" t="s">
        <v>265</v>
      </c>
      <c r="D427" s="4" t="s">
        <v>295</v>
      </c>
      <c r="E427" s="4" t="s">
        <v>416</v>
      </c>
      <c r="F427" s="4"/>
      <c r="G427" s="53">
        <f>'Прилож №7'!H467</f>
        <v>1.1</v>
      </c>
      <c r="H427" s="53">
        <f>'Прилож №7'!I467</f>
        <v>0</v>
      </c>
      <c r="I427" s="53">
        <f>'Прилож №7'!J467</f>
        <v>1.1</v>
      </c>
      <c r="J427" s="53">
        <f>'Прилож №7'!K467</f>
        <v>0</v>
      </c>
      <c r="K427" s="83"/>
    </row>
    <row r="428" spans="1:11" ht="14.25">
      <c r="A428" s="8" t="s">
        <v>599</v>
      </c>
      <c r="B428" s="4" t="s">
        <v>267</v>
      </c>
      <c r="C428" s="4" t="s">
        <v>265</v>
      </c>
      <c r="D428" s="4" t="s">
        <v>295</v>
      </c>
      <c r="E428" s="4" t="s">
        <v>526</v>
      </c>
      <c r="F428" s="4"/>
      <c r="G428" s="53">
        <f>G429+G430</f>
        <v>1037.5</v>
      </c>
      <c r="H428" s="53">
        <f>H429+H430</f>
        <v>0</v>
      </c>
      <c r="I428" s="53">
        <f>I429+I430</f>
        <v>1036.1</v>
      </c>
      <c r="J428" s="53">
        <f>J429+J430</f>
        <v>0</v>
      </c>
      <c r="K428" s="83"/>
    </row>
    <row r="429" spans="1:11" ht="28.5">
      <c r="A429" s="2" t="s">
        <v>440</v>
      </c>
      <c r="B429" s="4" t="s">
        <v>267</v>
      </c>
      <c r="C429" s="4" t="s">
        <v>265</v>
      </c>
      <c r="D429" s="4" t="s">
        <v>295</v>
      </c>
      <c r="E429" s="4" t="s">
        <v>437</v>
      </c>
      <c r="F429" s="4"/>
      <c r="G429" s="53">
        <f>'Прилож №7'!H469</f>
        <v>478.9</v>
      </c>
      <c r="H429" s="53">
        <f>'Прилож №7'!I469</f>
        <v>0</v>
      </c>
      <c r="I429" s="53">
        <f>'Прилож №7'!J469</f>
        <v>477.5</v>
      </c>
      <c r="J429" s="53">
        <f>'Прилож №7'!K469</f>
        <v>0</v>
      </c>
      <c r="K429" s="83"/>
    </row>
    <row r="430" spans="1:11" ht="28.5">
      <c r="A430" s="2" t="s">
        <v>431</v>
      </c>
      <c r="B430" s="4" t="s">
        <v>267</v>
      </c>
      <c r="C430" s="4" t="s">
        <v>265</v>
      </c>
      <c r="D430" s="4" t="s">
        <v>295</v>
      </c>
      <c r="E430" s="4" t="s">
        <v>421</v>
      </c>
      <c r="F430" s="4"/>
      <c r="G430" s="53">
        <f>'Прилож №7'!H470</f>
        <v>558.6</v>
      </c>
      <c r="H430" s="53">
        <f>'Прилож №7'!I470</f>
        <v>0</v>
      </c>
      <c r="I430" s="53">
        <f>'Прилож №7'!J470</f>
        <v>558.6</v>
      </c>
      <c r="J430" s="53">
        <f>'Прилож №7'!K470</f>
        <v>0</v>
      </c>
      <c r="K430" s="83"/>
    </row>
    <row r="431" spans="1:11" ht="14.25">
      <c r="A431" s="2" t="s">
        <v>553</v>
      </c>
      <c r="B431" s="4" t="s">
        <v>267</v>
      </c>
      <c r="C431" s="4" t="s">
        <v>265</v>
      </c>
      <c r="D431" s="4" t="s">
        <v>295</v>
      </c>
      <c r="E431" s="4" t="s">
        <v>527</v>
      </c>
      <c r="F431" s="4"/>
      <c r="G431" s="53">
        <f>G432+G433</f>
        <v>22.3</v>
      </c>
      <c r="H431" s="53">
        <f>H432+H433</f>
        <v>0</v>
      </c>
      <c r="I431" s="53">
        <f>I432+I433</f>
        <v>13.1</v>
      </c>
      <c r="J431" s="53">
        <f>J432+J433</f>
        <v>0</v>
      </c>
      <c r="K431" s="83"/>
    </row>
    <row r="432" spans="1:11" ht="14.25">
      <c r="A432" s="2" t="s">
        <v>363</v>
      </c>
      <c r="B432" s="4" t="s">
        <v>267</v>
      </c>
      <c r="C432" s="4" t="s">
        <v>265</v>
      </c>
      <c r="D432" s="4" t="s">
        <v>295</v>
      </c>
      <c r="E432" s="4" t="s">
        <v>418</v>
      </c>
      <c r="F432" s="4"/>
      <c r="G432" s="53">
        <f>'Прилож №7'!H472</f>
        <v>19.3</v>
      </c>
      <c r="H432" s="53">
        <f>'Прилож №7'!I472</f>
        <v>0</v>
      </c>
      <c r="I432" s="53">
        <f>'Прилож №7'!J472</f>
        <v>10.1</v>
      </c>
      <c r="J432" s="53">
        <f>'Прилож №7'!K472</f>
        <v>0</v>
      </c>
      <c r="K432" s="83"/>
    </row>
    <row r="433" spans="1:11" ht="14.25">
      <c r="A433" s="2" t="s">
        <v>442</v>
      </c>
      <c r="B433" s="4" t="s">
        <v>267</v>
      </c>
      <c r="C433" s="4" t="s">
        <v>265</v>
      </c>
      <c r="D433" s="4" t="s">
        <v>295</v>
      </c>
      <c r="E433" s="4" t="s">
        <v>441</v>
      </c>
      <c r="F433" s="4"/>
      <c r="G433" s="53">
        <f>'Прилож №7'!H473</f>
        <v>3</v>
      </c>
      <c r="H433" s="53">
        <f>'Прилож №7'!I473</f>
        <v>0</v>
      </c>
      <c r="I433" s="53">
        <f>'Прилож №7'!J473</f>
        <v>3</v>
      </c>
      <c r="J433" s="53">
        <f>'Прилож №7'!K473</f>
        <v>0</v>
      </c>
      <c r="K433" s="83"/>
    </row>
    <row r="434" spans="1:11" ht="28.5">
      <c r="A434" s="2" t="s">
        <v>321</v>
      </c>
      <c r="B434" s="4" t="s">
        <v>267</v>
      </c>
      <c r="C434" s="4" t="s">
        <v>265</v>
      </c>
      <c r="D434" s="4" t="s">
        <v>158</v>
      </c>
      <c r="E434" s="4"/>
      <c r="F434" s="4"/>
      <c r="G434" s="53">
        <f>G435+G437</f>
        <v>11816.6</v>
      </c>
      <c r="H434" s="53">
        <f>H435+H437</f>
        <v>11816.6</v>
      </c>
      <c r="I434" s="53">
        <f>I435+I437</f>
        <v>11816.6</v>
      </c>
      <c r="J434" s="53">
        <f>J435+J437</f>
        <v>11816.6</v>
      </c>
      <c r="K434" s="83"/>
    </row>
    <row r="435" spans="1:11" ht="166.5" customHeight="1">
      <c r="A435" s="75" t="s">
        <v>575</v>
      </c>
      <c r="B435" s="4" t="s">
        <v>267</v>
      </c>
      <c r="C435" s="4" t="s">
        <v>265</v>
      </c>
      <c r="D435" s="4" t="s">
        <v>61</v>
      </c>
      <c r="E435" s="4"/>
      <c r="F435" s="6"/>
      <c r="G435" s="53">
        <f>G436</f>
        <v>11223</v>
      </c>
      <c r="H435" s="53">
        <f>H436</f>
        <v>11223</v>
      </c>
      <c r="I435" s="53">
        <f>I436</f>
        <v>11223</v>
      </c>
      <c r="J435" s="53">
        <f>J436</f>
        <v>11223</v>
      </c>
      <c r="K435" s="83"/>
    </row>
    <row r="436" spans="1:11" ht="28.5">
      <c r="A436" s="2" t="s">
        <v>396</v>
      </c>
      <c r="B436" s="4" t="s">
        <v>267</v>
      </c>
      <c r="C436" s="4" t="s">
        <v>265</v>
      </c>
      <c r="D436" s="4" t="s">
        <v>61</v>
      </c>
      <c r="E436" s="4" t="s">
        <v>395</v>
      </c>
      <c r="F436" s="6" t="s">
        <v>395</v>
      </c>
      <c r="G436" s="53">
        <f>'Прилож №7'!H476</f>
        <v>11223</v>
      </c>
      <c r="H436" s="53">
        <f>'Прилож №7'!I476</f>
        <v>11223</v>
      </c>
      <c r="I436" s="53">
        <f>'Прилож №7'!J476</f>
        <v>11223</v>
      </c>
      <c r="J436" s="53">
        <f>'Прилож №7'!K476</f>
        <v>11223</v>
      </c>
      <c r="K436" s="83"/>
    </row>
    <row r="437" spans="1:11" ht="57" customHeight="1">
      <c r="A437" s="75" t="s">
        <v>584</v>
      </c>
      <c r="B437" s="4" t="s">
        <v>267</v>
      </c>
      <c r="C437" s="4" t="s">
        <v>265</v>
      </c>
      <c r="D437" s="4" t="s">
        <v>550</v>
      </c>
      <c r="E437" s="4"/>
      <c r="F437" s="6"/>
      <c r="G437" s="53">
        <f>G438</f>
        <v>593.6</v>
      </c>
      <c r="H437" s="53">
        <f>H438</f>
        <v>593.6</v>
      </c>
      <c r="I437" s="53">
        <f>I438</f>
        <v>593.6</v>
      </c>
      <c r="J437" s="53">
        <f>J438</f>
        <v>593.6</v>
      </c>
      <c r="K437" s="83"/>
    </row>
    <row r="438" spans="1:11" ht="28.5">
      <c r="A438" s="2" t="s">
        <v>396</v>
      </c>
      <c r="B438" s="4" t="s">
        <v>267</v>
      </c>
      <c r="C438" s="4" t="s">
        <v>265</v>
      </c>
      <c r="D438" s="4" t="s">
        <v>550</v>
      </c>
      <c r="E438" s="4" t="s">
        <v>395</v>
      </c>
      <c r="F438" s="6" t="s">
        <v>395</v>
      </c>
      <c r="G438" s="53">
        <f>'Прилож №7'!H478</f>
        <v>593.6</v>
      </c>
      <c r="H438" s="53">
        <f>'Прилож №7'!I478</f>
        <v>593.6</v>
      </c>
      <c r="I438" s="53">
        <f>'Прилож №7'!J478</f>
        <v>593.6</v>
      </c>
      <c r="J438" s="53">
        <f>'Прилож №7'!K478</f>
        <v>593.6</v>
      </c>
      <c r="K438" s="83"/>
    </row>
    <row r="439" spans="1:11" ht="28.5">
      <c r="A439" s="7" t="s">
        <v>568</v>
      </c>
      <c r="B439" s="4" t="s">
        <v>267</v>
      </c>
      <c r="C439" s="4" t="s">
        <v>265</v>
      </c>
      <c r="D439" s="4" t="s">
        <v>567</v>
      </c>
      <c r="E439" s="4"/>
      <c r="F439" s="6"/>
      <c r="G439" s="53">
        <f>G440</f>
        <v>2267</v>
      </c>
      <c r="H439" s="53">
        <f>H440</f>
        <v>2267</v>
      </c>
      <c r="I439" s="53">
        <f>I440</f>
        <v>0</v>
      </c>
      <c r="J439" s="53">
        <f>J440</f>
        <v>0</v>
      </c>
      <c r="K439" s="83"/>
    </row>
    <row r="440" spans="1:11" ht="28.5">
      <c r="A440" s="7" t="s">
        <v>411</v>
      </c>
      <c r="B440" s="4" t="s">
        <v>267</v>
      </c>
      <c r="C440" s="4" t="s">
        <v>265</v>
      </c>
      <c r="D440" s="4" t="s">
        <v>567</v>
      </c>
      <c r="E440" s="4" t="s">
        <v>407</v>
      </c>
      <c r="F440" s="6"/>
      <c r="G440" s="53">
        <f>'Прилож №7'!H480</f>
        <v>2267</v>
      </c>
      <c r="H440" s="53">
        <f>'Прилож №7'!I480</f>
        <v>2267</v>
      </c>
      <c r="I440" s="53">
        <f>'Прилож №7'!J480</f>
        <v>0</v>
      </c>
      <c r="J440" s="53">
        <f>'Прилож №7'!K480</f>
        <v>0</v>
      </c>
      <c r="K440" s="83"/>
    </row>
    <row r="441" spans="1:11" ht="57">
      <c r="A441" s="2" t="s">
        <v>214</v>
      </c>
      <c r="B441" s="4" t="s">
        <v>267</v>
      </c>
      <c r="C441" s="4" t="s">
        <v>265</v>
      </c>
      <c r="D441" s="4" t="s">
        <v>168</v>
      </c>
      <c r="E441" s="4"/>
      <c r="F441" s="4"/>
      <c r="G441" s="53">
        <f>G442+G444</f>
        <v>30450</v>
      </c>
      <c r="H441" s="53">
        <f>H442+H444</f>
        <v>874</v>
      </c>
      <c r="I441" s="53">
        <f>I442+I444</f>
        <v>30450</v>
      </c>
      <c r="J441" s="53">
        <f>J442+J444</f>
        <v>874</v>
      </c>
      <c r="K441" s="83"/>
    </row>
    <row r="442" spans="1:11" ht="28.5">
      <c r="A442" s="2" t="s">
        <v>397</v>
      </c>
      <c r="B442" s="4" t="s">
        <v>267</v>
      </c>
      <c r="C442" s="4" t="s">
        <v>265</v>
      </c>
      <c r="D442" s="4" t="s">
        <v>552</v>
      </c>
      <c r="E442" s="4"/>
      <c r="F442" s="6"/>
      <c r="G442" s="53">
        <f>G443</f>
        <v>874</v>
      </c>
      <c r="H442" s="53">
        <f>H443</f>
        <v>874</v>
      </c>
      <c r="I442" s="53">
        <f>I443</f>
        <v>874</v>
      </c>
      <c r="J442" s="53">
        <f>J443</f>
        <v>874</v>
      </c>
      <c r="K442" s="83"/>
    </row>
    <row r="443" spans="1:11" ht="42.75">
      <c r="A443" s="2" t="s">
        <v>429</v>
      </c>
      <c r="B443" s="4" t="s">
        <v>267</v>
      </c>
      <c r="C443" s="4" t="s">
        <v>265</v>
      </c>
      <c r="D443" s="4" t="s">
        <v>552</v>
      </c>
      <c r="E443" s="4" t="s">
        <v>402</v>
      </c>
      <c r="F443" s="6" t="s">
        <v>394</v>
      </c>
      <c r="G443" s="53">
        <f>'Прилож №7'!H483</f>
        <v>874</v>
      </c>
      <c r="H443" s="53">
        <f>'Прилож №7'!I483</f>
        <v>874</v>
      </c>
      <c r="I443" s="53">
        <f>'Прилож №7'!J483</f>
        <v>874</v>
      </c>
      <c r="J443" s="53">
        <f>'Прилож №7'!K483</f>
        <v>874</v>
      </c>
      <c r="K443" s="83"/>
    </row>
    <row r="444" spans="1:11" ht="14.25">
      <c r="A444" s="8" t="s">
        <v>157</v>
      </c>
      <c r="B444" s="4" t="s">
        <v>267</v>
      </c>
      <c r="C444" s="4" t="s">
        <v>265</v>
      </c>
      <c r="D444" s="4" t="s">
        <v>276</v>
      </c>
      <c r="E444" s="4"/>
      <c r="F444" s="6"/>
      <c r="G444" s="53">
        <f>G445+G446</f>
        <v>29576</v>
      </c>
      <c r="H444" s="53">
        <f>H445+H446</f>
        <v>0</v>
      </c>
      <c r="I444" s="53">
        <f>I445+I446</f>
        <v>29576</v>
      </c>
      <c r="J444" s="53">
        <f>J445+J446</f>
        <v>0</v>
      </c>
      <c r="K444" s="83"/>
    </row>
    <row r="445" spans="1:11" ht="42.75">
      <c r="A445" s="2" t="s">
        <v>429</v>
      </c>
      <c r="B445" s="4" t="s">
        <v>267</v>
      </c>
      <c r="C445" s="4" t="s">
        <v>265</v>
      </c>
      <c r="D445" s="4" t="s">
        <v>276</v>
      </c>
      <c r="E445" s="4" t="s">
        <v>402</v>
      </c>
      <c r="F445" s="6" t="s">
        <v>194</v>
      </c>
      <c r="G445" s="53">
        <f>'Прилож №7'!H485</f>
        <v>29376</v>
      </c>
      <c r="H445" s="53">
        <f>'Прилож №7'!I485</f>
        <v>0</v>
      </c>
      <c r="I445" s="53">
        <f>'Прилож №7'!J485</f>
        <v>29376</v>
      </c>
      <c r="J445" s="53">
        <f>'Прилож №7'!K485</f>
        <v>0</v>
      </c>
      <c r="K445" s="83"/>
    </row>
    <row r="446" spans="1:11" ht="14.25">
      <c r="A446" s="7" t="s">
        <v>399</v>
      </c>
      <c r="B446" s="4" t="s">
        <v>267</v>
      </c>
      <c r="C446" s="4" t="s">
        <v>265</v>
      </c>
      <c r="D446" s="4" t="s">
        <v>276</v>
      </c>
      <c r="E446" s="4" t="s">
        <v>398</v>
      </c>
      <c r="F446" s="6"/>
      <c r="G446" s="53">
        <f>'Прилож №7'!H486</f>
        <v>200</v>
      </c>
      <c r="H446" s="53">
        <f>'Прилож №7'!I486</f>
        <v>0</v>
      </c>
      <c r="I446" s="53">
        <f>'Прилож №7'!J486</f>
        <v>200</v>
      </c>
      <c r="J446" s="53">
        <f>'Прилож №7'!K486</f>
        <v>0</v>
      </c>
      <c r="K446" s="83"/>
    </row>
    <row r="447" spans="1:11" ht="14.25">
      <c r="A447" s="7" t="s">
        <v>530</v>
      </c>
      <c r="B447" s="4" t="s">
        <v>267</v>
      </c>
      <c r="C447" s="4" t="s">
        <v>265</v>
      </c>
      <c r="D447" s="4" t="s">
        <v>528</v>
      </c>
      <c r="E447" s="4"/>
      <c r="F447" s="6"/>
      <c r="G447" s="53">
        <f>G448</f>
        <v>2359</v>
      </c>
      <c r="H447" s="53">
        <f aca="true" t="shared" si="24" ref="H447:J448">H448</f>
        <v>2359</v>
      </c>
      <c r="I447" s="53">
        <f t="shared" si="24"/>
        <v>0</v>
      </c>
      <c r="J447" s="53">
        <f t="shared" si="24"/>
        <v>0</v>
      </c>
      <c r="K447" s="83"/>
    </row>
    <row r="448" spans="1:11" ht="28.5">
      <c r="A448" s="7" t="s">
        <v>570</v>
      </c>
      <c r="B448" s="4" t="s">
        <v>267</v>
      </c>
      <c r="C448" s="4" t="s">
        <v>265</v>
      </c>
      <c r="D448" s="4" t="s">
        <v>569</v>
      </c>
      <c r="E448" s="4"/>
      <c r="F448" s="6"/>
      <c r="G448" s="53">
        <f>G449</f>
        <v>2359</v>
      </c>
      <c r="H448" s="53">
        <f t="shared" si="24"/>
        <v>2359</v>
      </c>
      <c r="I448" s="53">
        <f t="shared" si="24"/>
        <v>0</v>
      </c>
      <c r="J448" s="53">
        <f t="shared" si="24"/>
        <v>0</v>
      </c>
      <c r="K448" s="83"/>
    </row>
    <row r="449" spans="1:11" ht="28.5">
      <c r="A449" s="7" t="s">
        <v>411</v>
      </c>
      <c r="B449" s="4" t="s">
        <v>267</v>
      </c>
      <c r="C449" s="4" t="s">
        <v>265</v>
      </c>
      <c r="D449" s="4" t="s">
        <v>569</v>
      </c>
      <c r="E449" s="4" t="s">
        <v>407</v>
      </c>
      <c r="F449" s="6"/>
      <c r="G449" s="53">
        <f>'Прилож №7'!H489</f>
        <v>2359</v>
      </c>
      <c r="H449" s="53">
        <f>'Прилож №7'!I489</f>
        <v>2359</v>
      </c>
      <c r="I449" s="53">
        <f>'Прилож №7'!J489</f>
        <v>0</v>
      </c>
      <c r="J449" s="53">
        <f>'Прилож №7'!K489</f>
        <v>0</v>
      </c>
      <c r="K449" s="83"/>
    </row>
    <row r="450" spans="1:11" ht="14.25">
      <c r="A450" s="8" t="s">
        <v>223</v>
      </c>
      <c r="B450" s="4" t="s">
        <v>267</v>
      </c>
      <c r="C450" s="4" t="s">
        <v>265</v>
      </c>
      <c r="D450" s="4" t="s">
        <v>224</v>
      </c>
      <c r="E450" s="4"/>
      <c r="F450" s="4"/>
      <c r="G450" s="53">
        <f>G451+G456</f>
        <v>23350.600000000002</v>
      </c>
      <c r="H450" s="53">
        <f>H451+H456</f>
        <v>0</v>
      </c>
      <c r="I450" s="53">
        <f>I451+I456</f>
        <v>23335.4</v>
      </c>
      <c r="J450" s="53">
        <f>J451+J456</f>
        <v>0</v>
      </c>
      <c r="K450" s="83"/>
    </row>
    <row r="451" spans="1:11" ht="42.75">
      <c r="A451" s="2" t="s">
        <v>360</v>
      </c>
      <c r="B451" s="4" t="s">
        <v>267</v>
      </c>
      <c r="C451" s="4" t="s">
        <v>265</v>
      </c>
      <c r="D451" s="4" t="s">
        <v>277</v>
      </c>
      <c r="E451" s="4"/>
      <c r="F451" s="4"/>
      <c r="G451" s="53">
        <f>G452+G453</f>
        <v>2984.9</v>
      </c>
      <c r="H451" s="53">
        <f>H452+H453</f>
        <v>0</v>
      </c>
      <c r="I451" s="53">
        <f>I452+I453</f>
        <v>2983.9</v>
      </c>
      <c r="J451" s="53">
        <f>J452+J453</f>
        <v>0</v>
      </c>
      <c r="K451" s="83"/>
    </row>
    <row r="452" spans="1:11" ht="14.25">
      <c r="A452" s="8" t="s">
        <v>417</v>
      </c>
      <c r="B452" s="4" t="s">
        <v>267</v>
      </c>
      <c r="C452" s="4" t="s">
        <v>265</v>
      </c>
      <c r="D452" s="4" t="s">
        <v>277</v>
      </c>
      <c r="E452" s="4" t="s">
        <v>416</v>
      </c>
      <c r="F452" s="4"/>
      <c r="G452" s="53">
        <f>'Прилож №7'!H492</f>
        <v>2090.3</v>
      </c>
      <c r="H452" s="53">
        <f>'Прилож №7'!I492</f>
        <v>0</v>
      </c>
      <c r="I452" s="53">
        <f>'Прилож №7'!J492</f>
        <v>2090.3</v>
      </c>
      <c r="J452" s="53">
        <f>'Прилож №7'!K492</f>
        <v>0</v>
      </c>
      <c r="K452" s="83"/>
    </row>
    <row r="453" spans="1:11" ht="14.25">
      <c r="A453" s="8" t="s">
        <v>599</v>
      </c>
      <c r="B453" s="4" t="s">
        <v>267</v>
      </c>
      <c r="C453" s="4" t="s">
        <v>265</v>
      </c>
      <c r="D453" s="4" t="s">
        <v>277</v>
      </c>
      <c r="E453" s="4" t="s">
        <v>526</v>
      </c>
      <c r="F453" s="4"/>
      <c r="G453" s="53">
        <f>G454+G455</f>
        <v>894.6</v>
      </c>
      <c r="H453" s="53">
        <f>H454+H455</f>
        <v>0</v>
      </c>
      <c r="I453" s="53">
        <f>I454+I455</f>
        <v>893.6</v>
      </c>
      <c r="J453" s="53">
        <f>J454+J455</f>
        <v>0</v>
      </c>
      <c r="K453" s="83"/>
    </row>
    <row r="454" spans="1:11" ht="28.5">
      <c r="A454" s="2" t="s">
        <v>440</v>
      </c>
      <c r="B454" s="4" t="s">
        <v>267</v>
      </c>
      <c r="C454" s="4" t="s">
        <v>265</v>
      </c>
      <c r="D454" s="4" t="s">
        <v>277</v>
      </c>
      <c r="E454" s="4" t="s">
        <v>437</v>
      </c>
      <c r="F454" s="4"/>
      <c r="G454" s="53">
        <f>'Прилож №7'!H494</f>
        <v>435.3</v>
      </c>
      <c r="H454" s="53">
        <f>'Прилож №7'!I494</f>
        <v>0</v>
      </c>
      <c r="I454" s="53">
        <f>'Прилож №7'!J494</f>
        <v>435.3</v>
      </c>
      <c r="J454" s="53">
        <f>'Прилож №7'!K494</f>
        <v>0</v>
      </c>
      <c r="K454" s="83"/>
    </row>
    <row r="455" spans="1:11" ht="28.5">
      <c r="A455" s="2" t="s">
        <v>431</v>
      </c>
      <c r="B455" s="4" t="s">
        <v>267</v>
      </c>
      <c r="C455" s="4" t="s">
        <v>265</v>
      </c>
      <c r="D455" s="4" t="s">
        <v>277</v>
      </c>
      <c r="E455" s="4" t="s">
        <v>421</v>
      </c>
      <c r="F455" s="4"/>
      <c r="G455" s="53">
        <f>'Прилож №7'!H495</f>
        <v>459.3</v>
      </c>
      <c r="H455" s="53">
        <f>'Прилож №7'!I495</f>
        <v>0</v>
      </c>
      <c r="I455" s="53">
        <f>'Прилож №7'!J495</f>
        <v>458.3</v>
      </c>
      <c r="J455" s="53">
        <f>'Прилож №7'!K495</f>
        <v>0</v>
      </c>
      <c r="K455" s="83"/>
    </row>
    <row r="456" spans="1:11" ht="28.5">
      <c r="A456" s="2" t="s">
        <v>380</v>
      </c>
      <c r="B456" s="4" t="s">
        <v>267</v>
      </c>
      <c r="C456" s="4" t="s">
        <v>265</v>
      </c>
      <c r="D456" s="4" t="s">
        <v>377</v>
      </c>
      <c r="E456" s="4"/>
      <c r="F456" s="4"/>
      <c r="G456" s="53">
        <f>G458+G459+G457+G460</f>
        <v>20365.7</v>
      </c>
      <c r="H456" s="53">
        <f>H458+H459+H457+H460</f>
        <v>0</v>
      </c>
      <c r="I456" s="53">
        <f>I458+I459+I457+I460</f>
        <v>20351.5</v>
      </c>
      <c r="J456" s="53">
        <f>J458+J459+J457+J460</f>
        <v>0</v>
      </c>
      <c r="K456" s="83"/>
    </row>
    <row r="457" spans="1:11" ht="28.5">
      <c r="A457" s="2" t="s">
        <v>440</v>
      </c>
      <c r="B457" s="4" t="s">
        <v>267</v>
      </c>
      <c r="C457" s="4" t="s">
        <v>265</v>
      </c>
      <c r="D457" s="4" t="s">
        <v>377</v>
      </c>
      <c r="E457" s="4" t="s">
        <v>437</v>
      </c>
      <c r="F457" s="4"/>
      <c r="G457" s="53">
        <f>'Прилож №7'!H497</f>
        <v>67.3</v>
      </c>
      <c r="H457" s="53">
        <f>'Прилож №7'!I497</f>
        <v>0</v>
      </c>
      <c r="I457" s="53">
        <f>'Прилож №7'!J497</f>
        <v>67.3</v>
      </c>
      <c r="J457" s="53">
        <f>'Прилож №7'!K497</f>
        <v>0</v>
      </c>
      <c r="K457" s="83"/>
    </row>
    <row r="458" spans="1:11" ht="28.5">
      <c r="A458" s="2" t="s">
        <v>431</v>
      </c>
      <c r="B458" s="4" t="s">
        <v>267</v>
      </c>
      <c r="C458" s="4" t="s">
        <v>265</v>
      </c>
      <c r="D458" s="4" t="s">
        <v>377</v>
      </c>
      <c r="E458" s="6" t="s">
        <v>421</v>
      </c>
      <c r="F458" s="4"/>
      <c r="G458" s="53">
        <f>'Прилож №7'!H498+'Прилож №7'!H264</f>
        <v>3116.3999999999996</v>
      </c>
      <c r="H458" s="53">
        <f>'Прилож №7'!I498+'Прилож №7'!I264</f>
        <v>0</v>
      </c>
      <c r="I458" s="53">
        <f>'Прилож №7'!J498+'Прилож №7'!J264</f>
        <v>3102.2</v>
      </c>
      <c r="J458" s="53">
        <f>'Прилож №7'!K498+'Прилож №7'!K264</f>
        <v>0</v>
      </c>
      <c r="K458" s="83"/>
    </row>
    <row r="459" spans="1:11" ht="28.5">
      <c r="A459" s="7" t="s">
        <v>411</v>
      </c>
      <c r="B459" s="4" t="s">
        <v>267</v>
      </c>
      <c r="C459" s="4" t="s">
        <v>265</v>
      </c>
      <c r="D459" s="4" t="s">
        <v>377</v>
      </c>
      <c r="E459" s="6" t="s">
        <v>407</v>
      </c>
      <c r="F459" s="4"/>
      <c r="G459" s="53">
        <f>'Прилож №7'!H499</f>
        <v>16502</v>
      </c>
      <c r="H459" s="53">
        <f>'Прилож №7'!I499</f>
        <v>0</v>
      </c>
      <c r="I459" s="53">
        <f>'Прилож №7'!J499</f>
        <v>16502</v>
      </c>
      <c r="J459" s="53">
        <f>'Прилож №7'!K499</f>
        <v>0</v>
      </c>
      <c r="K459" s="83"/>
    </row>
    <row r="460" spans="1:11" ht="14.25">
      <c r="A460" s="7" t="s">
        <v>399</v>
      </c>
      <c r="B460" s="4" t="s">
        <v>267</v>
      </c>
      <c r="C460" s="4" t="s">
        <v>265</v>
      </c>
      <c r="D460" s="4" t="s">
        <v>377</v>
      </c>
      <c r="E460" s="6" t="s">
        <v>398</v>
      </c>
      <c r="F460" s="4"/>
      <c r="G460" s="53">
        <f>'Прилож №7'!H265</f>
        <v>680</v>
      </c>
      <c r="H460" s="53">
        <f>'Прилож №7'!I265</f>
        <v>0</v>
      </c>
      <c r="I460" s="53">
        <f>'Прилож №7'!J265</f>
        <v>680</v>
      </c>
      <c r="J460" s="53">
        <f>'Прилож №7'!K265</f>
        <v>0</v>
      </c>
      <c r="K460" s="83"/>
    </row>
    <row r="461" spans="1:11" ht="15">
      <c r="A461" s="11" t="s">
        <v>355</v>
      </c>
      <c r="B461" s="3" t="s">
        <v>268</v>
      </c>
      <c r="C461" s="3"/>
      <c r="D461" s="3"/>
      <c r="E461" s="3"/>
      <c r="F461" s="4"/>
      <c r="G461" s="48">
        <f>G462+G503</f>
        <v>137931.2</v>
      </c>
      <c r="H461" s="48">
        <f>H462+H503</f>
        <v>1751.7</v>
      </c>
      <c r="I461" s="48">
        <f>I462+I503</f>
        <v>137502.3</v>
      </c>
      <c r="J461" s="48">
        <f>J462+J503</f>
        <v>1750.2</v>
      </c>
      <c r="K461" s="63">
        <f>I461/G461*100</f>
        <v>99.68904787314253</v>
      </c>
    </row>
    <row r="462" spans="1:11" ht="15">
      <c r="A462" s="11" t="s">
        <v>163</v>
      </c>
      <c r="B462" s="3" t="s">
        <v>268</v>
      </c>
      <c r="C462" s="3" t="s">
        <v>259</v>
      </c>
      <c r="D462" s="3"/>
      <c r="E462" s="3"/>
      <c r="F462" s="3" t="s">
        <v>149</v>
      </c>
      <c r="G462" s="48">
        <f>G463+G473+G480+G486+G491+G500</f>
        <v>106160.60000000002</v>
      </c>
      <c r="H462" s="48">
        <f>H463+H473+H480+H486+H491+H500</f>
        <v>1751.7</v>
      </c>
      <c r="I462" s="48">
        <f>I463+I473+I480+I486+I491+I500</f>
        <v>105813</v>
      </c>
      <c r="J462" s="48">
        <f>J463+J473+J480+J486+J491+J500</f>
        <v>1750.2</v>
      </c>
      <c r="K462" s="83"/>
    </row>
    <row r="463" spans="1:11" ht="28.5">
      <c r="A463" s="2" t="s">
        <v>218</v>
      </c>
      <c r="B463" s="4" t="s">
        <v>268</v>
      </c>
      <c r="C463" s="4" t="s">
        <v>259</v>
      </c>
      <c r="D463" s="4" t="s">
        <v>164</v>
      </c>
      <c r="E463" s="4"/>
      <c r="F463" s="4"/>
      <c r="G463" s="53">
        <f>G464+G466+G467+G468</f>
        <v>67185.20000000001</v>
      </c>
      <c r="H463" s="53">
        <f>H464+H466+H467+H468</f>
        <v>0</v>
      </c>
      <c r="I463" s="53">
        <f>I464+I466+I467+I468</f>
        <v>66953</v>
      </c>
      <c r="J463" s="53">
        <f>J464+J466+J467+J468</f>
        <v>0</v>
      </c>
      <c r="K463" s="83"/>
    </row>
    <row r="464" spans="1:11" ht="43.5">
      <c r="A464" s="47" t="s">
        <v>51</v>
      </c>
      <c r="B464" s="4" t="s">
        <v>268</v>
      </c>
      <c r="C464" s="4" t="s">
        <v>259</v>
      </c>
      <c r="D464" s="4" t="s">
        <v>49</v>
      </c>
      <c r="E464" s="6" t="s">
        <v>50</v>
      </c>
      <c r="F464" s="6" t="s">
        <v>50</v>
      </c>
      <c r="G464" s="53">
        <f>'Прилож №7'!H774</f>
        <v>25000</v>
      </c>
      <c r="H464" s="53">
        <f>'Прилож №7'!I774</f>
        <v>0</v>
      </c>
      <c r="I464" s="53">
        <f>'Прилож №7'!J774</f>
        <v>25000</v>
      </c>
      <c r="J464" s="53">
        <f>'Прилож №7'!K774</f>
        <v>0</v>
      </c>
      <c r="K464" s="83"/>
    </row>
    <row r="465" spans="1:11" ht="14.25">
      <c r="A465" s="59" t="s">
        <v>363</v>
      </c>
      <c r="B465" s="4" t="s">
        <v>268</v>
      </c>
      <c r="C465" s="4" t="s">
        <v>259</v>
      </c>
      <c r="D465" s="4" t="s">
        <v>34</v>
      </c>
      <c r="E465" s="4"/>
      <c r="F465" s="4"/>
      <c r="G465" s="53">
        <f>G466+G467</f>
        <v>2956.6</v>
      </c>
      <c r="H465" s="53">
        <f>H466+H467</f>
        <v>0</v>
      </c>
      <c r="I465" s="53">
        <f>I466+I467</f>
        <v>2724.4</v>
      </c>
      <c r="J465" s="53">
        <f>J466+J467</f>
        <v>0</v>
      </c>
      <c r="K465" s="83"/>
    </row>
    <row r="466" spans="1:11" ht="42.75">
      <c r="A466" s="2" t="s">
        <v>601</v>
      </c>
      <c r="B466" s="4" t="s">
        <v>268</v>
      </c>
      <c r="C466" s="4" t="s">
        <v>259</v>
      </c>
      <c r="D466" s="4" t="s">
        <v>34</v>
      </c>
      <c r="E466" s="4" t="s">
        <v>402</v>
      </c>
      <c r="F466" s="4"/>
      <c r="G466" s="53">
        <f>'Прилож №7'!H563</f>
        <v>2004.6</v>
      </c>
      <c r="H466" s="53">
        <f>'Прилож №7'!I563</f>
        <v>0</v>
      </c>
      <c r="I466" s="53">
        <f>'Прилож №7'!J563</f>
        <v>1772.4</v>
      </c>
      <c r="J466" s="53">
        <f>'Прилож №7'!K563</f>
        <v>0</v>
      </c>
      <c r="K466" s="83"/>
    </row>
    <row r="467" spans="1:11" ht="42.75">
      <c r="A467" s="2" t="s">
        <v>35</v>
      </c>
      <c r="B467" s="4" t="s">
        <v>268</v>
      </c>
      <c r="C467" s="4" t="s">
        <v>259</v>
      </c>
      <c r="D467" s="4" t="s">
        <v>34</v>
      </c>
      <c r="E467" s="4" t="s">
        <v>433</v>
      </c>
      <c r="F467" s="4"/>
      <c r="G467" s="53">
        <f>'Прилож №7'!H564</f>
        <v>952</v>
      </c>
      <c r="H467" s="53">
        <f>'Прилож №7'!I564</f>
        <v>0</v>
      </c>
      <c r="I467" s="53">
        <f>'Прилож №7'!J564</f>
        <v>952</v>
      </c>
      <c r="J467" s="53">
        <f>'Прилож №7'!K564</f>
        <v>0</v>
      </c>
      <c r="K467" s="83"/>
    </row>
    <row r="468" spans="1:11" ht="14.25">
      <c r="A468" s="8" t="s">
        <v>157</v>
      </c>
      <c r="B468" s="4" t="s">
        <v>268</v>
      </c>
      <c r="C468" s="4" t="s">
        <v>259</v>
      </c>
      <c r="D468" s="4" t="s">
        <v>278</v>
      </c>
      <c r="E468" s="4"/>
      <c r="F468" s="6"/>
      <c r="G468" s="53">
        <f>G469+G472+G470+G471</f>
        <v>39228.600000000006</v>
      </c>
      <c r="H468" s="53">
        <f>H469+H472+H470+H471</f>
        <v>0</v>
      </c>
      <c r="I468" s="53">
        <f>I469+I472+I470+I471</f>
        <v>39228.600000000006</v>
      </c>
      <c r="J468" s="53">
        <f>J469+J472+J470+J471</f>
        <v>0</v>
      </c>
      <c r="K468" s="83"/>
    </row>
    <row r="469" spans="1:11" ht="42.75">
      <c r="A469" s="2" t="s">
        <v>429</v>
      </c>
      <c r="B469" s="4" t="s">
        <v>268</v>
      </c>
      <c r="C469" s="4" t="s">
        <v>259</v>
      </c>
      <c r="D469" s="4" t="s">
        <v>278</v>
      </c>
      <c r="E469" s="4" t="s">
        <v>402</v>
      </c>
      <c r="F469" s="6" t="s">
        <v>402</v>
      </c>
      <c r="G469" s="53">
        <f>'Прилож №7'!H566</f>
        <v>16550</v>
      </c>
      <c r="H469" s="53">
        <f>'Прилож №7'!I566</f>
        <v>0</v>
      </c>
      <c r="I469" s="53">
        <f>'Прилож №7'!J566</f>
        <v>16550</v>
      </c>
      <c r="J469" s="53">
        <f>'Прилож №7'!K566</f>
        <v>0</v>
      </c>
      <c r="K469" s="83"/>
    </row>
    <row r="470" spans="1:11" ht="14.25">
      <c r="A470" s="7" t="s">
        <v>399</v>
      </c>
      <c r="B470" s="4" t="s">
        <v>268</v>
      </c>
      <c r="C470" s="4" t="s">
        <v>259</v>
      </c>
      <c r="D470" s="4" t="s">
        <v>278</v>
      </c>
      <c r="E470" s="4" t="s">
        <v>398</v>
      </c>
      <c r="F470" s="6"/>
      <c r="G470" s="53">
        <f>'Прилож №7'!H567</f>
        <v>16.3</v>
      </c>
      <c r="H470" s="53">
        <f>'Прилож №7'!I567</f>
        <v>0</v>
      </c>
      <c r="I470" s="53">
        <f>'Прилож №7'!J567</f>
        <v>16.3</v>
      </c>
      <c r="J470" s="53">
        <f>'Прилож №7'!K567</f>
        <v>0</v>
      </c>
      <c r="K470" s="83"/>
    </row>
    <row r="471" spans="1:11" ht="14.25">
      <c r="A471" s="7" t="s">
        <v>428</v>
      </c>
      <c r="B471" s="4" t="s">
        <v>268</v>
      </c>
      <c r="C471" s="4" t="s">
        <v>259</v>
      </c>
      <c r="D471" s="4" t="s">
        <v>278</v>
      </c>
      <c r="E471" s="4" t="s">
        <v>427</v>
      </c>
      <c r="F471" s="6"/>
      <c r="G471" s="53">
        <f>'Прилож №7'!H569</f>
        <v>80</v>
      </c>
      <c r="H471" s="53">
        <f>'Прилож №7'!I569</f>
        <v>0</v>
      </c>
      <c r="I471" s="53">
        <f>'Прилож №7'!J569</f>
        <v>80</v>
      </c>
      <c r="J471" s="53">
        <f>'Прилож №7'!K569</f>
        <v>0</v>
      </c>
      <c r="K471" s="83"/>
    </row>
    <row r="472" spans="1:11" ht="42.75">
      <c r="A472" s="7" t="s">
        <v>434</v>
      </c>
      <c r="B472" s="4" t="s">
        <v>268</v>
      </c>
      <c r="C472" s="4" t="s">
        <v>259</v>
      </c>
      <c r="D472" s="4" t="s">
        <v>278</v>
      </c>
      <c r="E472" s="4" t="s">
        <v>433</v>
      </c>
      <c r="F472" s="6" t="s">
        <v>433</v>
      </c>
      <c r="G472" s="53">
        <f>'Прилож №7'!H568</f>
        <v>22582.3</v>
      </c>
      <c r="H472" s="53">
        <f>'Прилож №7'!I568</f>
        <v>0</v>
      </c>
      <c r="I472" s="53">
        <f>'Прилож №7'!J568</f>
        <v>22582.3</v>
      </c>
      <c r="J472" s="53">
        <f>'Прилож №7'!K568</f>
        <v>0</v>
      </c>
      <c r="K472" s="83"/>
    </row>
    <row r="473" spans="1:11" ht="15">
      <c r="A473" s="11" t="s">
        <v>150</v>
      </c>
      <c r="B473" s="3" t="s">
        <v>268</v>
      </c>
      <c r="C473" s="3" t="s">
        <v>259</v>
      </c>
      <c r="D473" s="3" t="s">
        <v>165</v>
      </c>
      <c r="E473" s="3"/>
      <c r="F473" s="3"/>
      <c r="G473" s="48">
        <f>G474+G476+G478</f>
        <v>14068.7</v>
      </c>
      <c r="H473" s="48">
        <f>H474+H476+H478</f>
        <v>0</v>
      </c>
      <c r="I473" s="48">
        <f>I474+I476+I478</f>
        <v>14068.7</v>
      </c>
      <c r="J473" s="48">
        <f>J474+J476+J478</f>
        <v>0</v>
      </c>
      <c r="K473" s="63">
        <f>I473/G473*100</f>
        <v>100</v>
      </c>
    </row>
    <row r="474" spans="1:11" ht="57.75">
      <c r="A474" s="47" t="s">
        <v>53</v>
      </c>
      <c r="B474" s="4" t="s">
        <v>268</v>
      </c>
      <c r="C474" s="4" t="s">
        <v>259</v>
      </c>
      <c r="D474" s="4" t="s">
        <v>52</v>
      </c>
      <c r="E474" s="6" t="s">
        <v>50</v>
      </c>
      <c r="F474" s="6" t="s">
        <v>50</v>
      </c>
      <c r="G474" s="53">
        <f>'Прилож №7'!H776</f>
        <v>9800</v>
      </c>
      <c r="H474" s="53">
        <f>'Прилож №7'!I776</f>
        <v>0</v>
      </c>
      <c r="I474" s="53">
        <f>'Прилож №7'!J776</f>
        <v>9800</v>
      </c>
      <c r="J474" s="53">
        <f>'Прилож №7'!K776</f>
        <v>0</v>
      </c>
      <c r="K474" s="83"/>
    </row>
    <row r="475" spans="1:11" ht="14.25">
      <c r="A475" s="59" t="s">
        <v>363</v>
      </c>
      <c r="B475" s="4" t="s">
        <v>268</v>
      </c>
      <c r="C475" s="4" t="s">
        <v>259</v>
      </c>
      <c r="D475" s="4" t="s">
        <v>36</v>
      </c>
      <c r="E475" s="6"/>
      <c r="F475" s="6"/>
      <c r="G475" s="53">
        <f>G476</f>
        <v>25.7</v>
      </c>
      <c r="H475" s="53">
        <f>H476</f>
        <v>0</v>
      </c>
      <c r="I475" s="53">
        <f>I476</f>
        <v>25.7</v>
      </c>
      <c r="J475" s="53">
        <f>J476</f>
        <v>0</v>
      </c>
      <c r="K475" s="83"/>
    </row>
    <row r="476" spans="1:11" ht="42.75">
      <c r="A476" s="2" t="s">
        <v>601</v>
      </c>
      <c r="B476" s="4" t="s">
        <v>268</v>
      </c>
      <c r="C476" s="4" t="s">
        <v>259</v>
      </c>
      <c r="D476" s="4" t="s">
        <v>36</v>
      </c>
      <c r="E476" s="4" t="s">
        <v>402</v>
      </c>
      <c r="F476" s="6" t="s">
        <v>402</v>
      </c>
      <c r="G476" s="53">
        <f>'Прилож №7'!H572</f>
        <v>25.7</v>
      </c>
      <c r="H476" s="53">
        <f>'Прилож №7'!I572</f>
        <v>0</v>
      </c>
      <c r="I476" s="53">
        <f>'Прилож №7'!J572</f>
        <v>25.7</v>
      </c>
      <c r="J476" s="53">
        <f>'Прилож №7'!K572</f>
        <v>0</v>
      </c>
      <c r="K476" s="83"/>
    </row>
    <row r="477" spans="1:11" ht="15">
      <c r="A477" s="8" t="s">
        <v>157</v>
      </c>
      <c r="B477" s="4" t="s">
        <v>268</v>
      </c>
      <c r="C477" s="4" t="s">
        <v>259</v>
      </c>
      <c r="D477" s="4" t="s">
        <v>279</v>
      </c>
      <c r="E477" s="3"/>
      <c r="F477" s="4"/>
      <c r="G477" s="53">
        <f>G478+G479</f>
        <v>4323</v>
      </c>
      <c r="H477" s="53">
        <f>H478+H479</f>
        <v>0</v>
      </c>
      <c r="I477" s="53">
        <f>I478+I479</f>
        <v>4323</v>
      </c>
      <c r="J477" s="53">
        <f>J478+J479</f>
        <v>0</v>
      </c>
      <c r="K477" s="83"/>
    </row>
    <row r="478" spans="1:11" ht="42.75">
      <c r="A478" s="2" t="s">
        <v>429</v>
      </c>
      <c r="B478" s="4" t="s">
        <v>268</v>
      </c>
      <c r="C478" s="4" t="s">
        <v>259</v>
      </c>
      <c r="D478" s="4" t="s">
        <v>279</v>
      </c>
      <c r="E478" s="4" t="s">
        <v>402</v>
      </c>
      <c r="F478" s="4"/>
      <c r="G478" s="53">
        <f>'Прилож №7'!H574</f>
        <v>4243</v>
      </c>
      <c r="H478" s="53">
        <f>'Прилож №7'!I574</f>
        <v>0</v>
      </c>
      <c r="I478" s="53">
        <f>'Прилож №7'!J574</f>
        <v>4243</v>
      </c>
      <c r="J478" s="53">
        <f>'Прилож №7'!K574</f>
        <v>0</v>
      </c>
      <c r="K478" s="83"/>
    </row>
    <row r="479" spans="1:11" ht="14.25">
      <c r="A479" s="7" t="s">
        <v>428</v>
      </c>
      <c r="B479" s="4" t="s">
        <v>268</v>
      </c>
      <c r="C479" s="4" t="s">
        <v>259</v>
      </c>
      <c r="D479" s="4" t="s">
        <v>279</v>
      </c>
      <c r="E479" s="4" t="s">
        <v>427</v>
      </c>
      <c r="F479" s="4"/>
      <c r="G479" s="53">
        <f>'Прилож №7'!H569</f>
        <v>80</v>
      </c>
      <c r="H479" s="53">
        <f>'Прилож №7'!I569</f>
        <v>0</v>
      </c>
      <c r="I479" s="53">
        <f>'Прилож №7'!J569</f>
        <v>80</v>
      </c>
      <c r="J479" s="53">
        <f>'Прилож №7'!K569</f>
        <v>0</v>
      </c>
      <c r="K479" s="83"/>
    </row>
    <row r="480" spans="1:11" ht="15">
      <c r="A480" s="11" t="s">
        <v>151</v>
      </c>
      <c r="B480" s="3" t="s">
        <v>268</v>
      </c>
      <c r="C480" s="3" t="s">
        <v>259</v>
      </c>
      <c r="D480" s="3" t="s">
        <v>166</v>
      </c>
      <c r="E480" s="3"/>
      <c r="F480" s="3"/>
      <c r="G480" s="48">
        <f>G483+G481</f>
        <v>12887.8</v>
      </c>
      <c r="H480" s="48">
        <f>H483+H481</f>
        <v>0</v>
      </c>
      <c r="I480" s="48">
        <f>I483+I481</f>
        <v>12773.9</v>
      </c>
      <c r="J480" s="48">
        <f>J483+J481</f>
        <v>0</v>
      </c>
      <c r="K480" s="63">
        <f>I480/G480*100</f>
        <v>99.116218439144</v>
      </c>
    </row>
    <row r="481" spans="1:11" ht="15">
      <c r="A481" s="59" t="s">
        <v>363</v>
      </c>
      <c r="B481" s="4" t="s">
        <v>268</v>
      </c>
      <c r="C481" s="4" t="s">
        <v>259</v>
      </c>
      <c r="D481" s="4" t="s">
        <v>37</v>
      </c>
      <c r="E481" s="3"/>
      <c r="F481" s="6"/>
      <c r="G481" s="53">
        <f>G482</f>
        <v>11</v>
      </c>
      <c r="H481" s="53">
        <f>H482</f>
        <v>0</v>
      </c>
      <c r="I481" s="53">
        <f>I482</f>
        <v>11</v>
      </c>
      <c r="J481" s="53">
        <f>J482</f>
        <v>0</v>
      </c>
      <c r="K481" s="83"/>
    </row>
    <row r="482" spans="1:11" ht="42.75">
      <c r="A482" s="2" t="s">
        <v>601</v>
      </c>
      <c r="B482" s="4" t="s">
        <v>268</v>
      </c>
      <c r="C482" s="4" t="s">
        <v>259</v>
      </c>
      <c r="D482" s="4" t="s">
        <v>37</v>
      </c>
      <c r="E482" s="4" t="s">
        <v>402</v>
      </c>
      <c r="F482" s="6" t="s">
        <v>402</v>
      </c>
      <c r="G482" s="53">
        <f>'Прилож №7'!H577</f>
        <v>11</v>
      </c>
      <c r="H482" s="53">
        <f>'Прилож №7'!I577</f>
        <v>0</v>
      </c>
      <c r="I482" s="53">
        <f>'Прилож №7'!J577</f>
        <v>11</v>
      </c>
      <c r="J482" s="53">
        <f>'Прилож №7'!K577</f>
        <v>0</v>
      </c>
      <c r="K482" s="83"/>
    </row>
    <row r="483" spans="1:11" ht="15">
      <c r="A483" s="8" t="s">
        <v>157</v>
      </c>
      <c r="B483" s="3" t="s">
        <v>268</v>
      </c>
      <c r="C483" s="3" t="s">
        <v>259</v>
      </c>
      <c r="D483" s="4" t="s">
        <v>280</v>
      </c>
      <c r="E483" s="3"/>
      <c r="F483" s="5"/>
      <c r="G483" s="53">
        <f>G484+G485</f>
        <v>12876.8</v>
      </c>
      <c r="H483" s="53">
        <f>H484+H485</f>
        <v>0</v>
      </c>
      <c r="I483" s="53">
        <f>I484+I485</f>
        <v>12762.9</v>
      </c>
      <c r="J483" s="53">
        <f>J484+J485</f>
        <v>0</v>
      </c>
      <c r="K483" s="83"/>
    </row>
    <row r="484" spans="1:11" ht="43.5">
      <c r="A484" s="2" t="s">
        <v>429</v>
      </c>
      <c r="B484" s="3" t="s">
        <v>268</v>
      </c>
      <c r="C484" s="3" t="s">
        <v>259</v>
      </c>
      <c r="D484" s="4" t="s">
        <v>280</v>
      </c>
      <c r="E484" s="4" t="s">
        <v>402</v>
      </c>
      <c r="F484" s="6" t="s">
        <v>398</v>
      </c>
      <c r="G484" s="53">
        <f>'Прилож №7'!H579</f>
        <v>12276.8</v>
      </c>
      <c r="H484" s="53">
        <f>'Прилож №7'!I579</f>
        <v>0</v>
      </c>
      <c r="I484" s="53">
        <f>'Прилож №7'!J579</f>
        <v>12162.9</v>
      </c>
      <c r="J484" s="53">
        <f>'Прилож №7'!K579</f>
        <v>0</v>
      </c>
      <c r="K484" s="83"/>
    </row>
    <row r="485" spans="1:11" ht="15">
      <c r="A485" s="7" t="s">
        <v>399</v>
      </c>
      <c r="B485" s="3" t="s">
        <v>268</v>
      </c>
      <c r="C485" s="3" t="s">
        <v>259</v>
      </c>
      <c r="D485" s="4" t="s">
        <v>280</v>
      </c>
      <c r="E485" s="4" t="s">
        <v>398</v>
      </c>
      <c r="F485" s="6"/>
      <c r="G485" s="53">
        <f>'Прилож №7'!H580</f>
        <v>600</v>
      </c>
      <c r="H485" s="53">
        <f>'Прилож №7'!I580</f>
        <v>0</v>
      </c>
      <c r="I485" s="53">
        <f>'Прилож №7'!J580</f>
        <v>600</v>
      </c>
      <c r="J485" s="53">
        <f>'Прилож №7'!K580</f>
        <v>0</v>
      </c>
      <c r="K485" s="83"/>
    </row>
    <row r="486" spans="1:11" ht="30">
      <c r="A486" s="47" t="s">
        <v>215</v>
      </c>
      <c r="B486" s="3" t="s">
        <v>268</v>
      </c>
      <c r="C486" s="3" t="s">
        <v>259</v>
      </c>
      <c r="D486" s="3" t="s">
        <v>167</v>
      </c>
      <c r="E486" s="3"/>
      <c r="F486" s="3"/>
      <c r="G486" s="48">
        <f>G489+G495+G487</f>
        <v>11513.8</v>
      </c>
      <c r="H486" s="48">
        <f>H489+H495+H487</f>
        <v>1526.7</v>
      </c>
      <c r="I486" s="48">
        <f>I489+I495+I487</f>
        <v>11513.800000000001</v>
      </c>
      <c r="J486" s="48">
        <f>J489+J495+J487</f>
        <v>1526.7</v>
      </c>
      <c r="K486" s="63">
        <f>I486/G486*100</f>
        <v>100.00000000000003</v>
      </c>
    </row>
    <row r="487" spans="1:11" ht="15">
      <c r="A487" s="59" t="s">
        <v>363</v>
      </c>
      <c r="B487" s="4" t="s">
        <v>268</v>
      </c>
      <c r="C487" s="4" t="s">
        <v>259</v>
      </c>
      <c r="D487" s="4" t="s">
        <v>595</v>
      </c>
      <c r="E487" s="3"/>
      <c r="F487" s="3"/>
      <c r="G487" s="53">
        <f>G488</f>
        <v>100</v>
      </c>
      <c r="H487" s="53">
        <f>H488</f>
        <v>0</v>
      </c>
      <c r="I487" s="53">
        <f>I488</f>
        <v>100</v>
      </c>
      <c r="J487" s="53">
        <f>J488</f>
        <v>0</v>
      </c>
      <c r="K487" s="83"/>
    </row>
    <row r="488" spans="1:11" ht="43.5">
      <c r="A488" s="2" t="s">
        <v>601</v>
      </c>
      <c r="B488" s="4" t="s">
        <v>268</v>
      </c>
      <c r="C488" s="4" t="s">
        <v>259</v>
      </c>
      <c r="D488" s="4" t="s">
        <v>595</v>
      </c>
      <c r="E488" s="4" t="s">
        <v>433</v>
      </c>
      <c r="F488" s="3"/>
      <c r="G488" s="53">
        <f>'Прилож №7'!H583</f>
        <v>100</v>
      </c>
      <c r="H488" s="53">
        <f>'Прилож №7'!I583</f>
        <v>0</v>
      </c>
      <c r="I488" s="53">
        <f>'Прилож №7'!J583</f>
        <v>100</v>
      </c>
      <c r="J488" s="53">
        <f>'Прилож №7'!K583</f>
        <v>0</v>
      </c>
      <c r="K488" s="83"/>
    </row>
    <row r="489" spans="1:11" ht="15">
      <c r="A489" s="8" t="s">
        <v>157</v>
      </c>
      <c r="B489" s="4" t="s">
        <v>268</v>
      </c>
      <c r="C489" s="4" t="s">
        <v>259</v>
      </c>
      <c r="D489" s="4" t="s">
        <v>281</v>
      </c>
      <c r="E489" s="4"/>
      <c r="F489" s="3"/>
      <c r="G489" s="53">
        <f>G490</f>
        <v>9887.099999999999</v>
      </c>
      <c r="H489" s="53">
        <f>H490</f>
        <v>0</v>
      </c>
      <c r="I489" s="53">
        <f>I490</f>
        <v>9887.1</v>
      </c>
      <c r="J489" s="53">
        <f>J490</f>
        <v>0</v>
      </c>
      <c r="K489" s="83"/>
    </row>
    <row r="490" spans="1:11" ht="43.5">
      <c r="A490" s="7" t="s">
        <v>434</v>
      </c>
      <c r="B490" s="4" t="s">
        <v>268</v>
      </c>
      <c r="C490" s="4" t="s">
        <v>259</v>
      </c>
      <c r="D490" s="4" t="s">
        <v>281</v>
      </c>
      <c r="E490" s="4" t="s">
        <v>433</v>
      </c>
      <c r="F490" s="3"/>
      <c r="G490" s="53">
        <f>'Прилож №7'!H585</f>
        <v>9887.099999999999</v>
      </c>
      <c r="H490" s="53">
        <f>'Прилож №7'!I585</f>
        <v>0</v>
      </c>
      <c r="I490" s="53">
        <f>'Прилож №7'!J585</f>
        <v>9887.1</v>
      </c>
      <c r="J490" s="53">
        <f>'Прилож №7'!K585</f>
        <v>0</v>
      </c>
      <c r="K490" s="83"/>
    </row>
    <row r="491" spans="1:11" ht="15">
      <c r="A491" s="8" t="s">
        <v>220</v>
      </c>
      <c r="B491" s="3" t="s">
        <v>268</v>
      </c>
      <c r="C491" s="3" t="s">
        <v>259</v>
      </c>
      <c r="D491" s="3" t="s">
        <v>200</v>
      </c>
      <c r="E491" s="3"/>
      <c r="F491" s="3"/>
      <c r="G491" s="48">
        <f aca="true" t="shared" si="25" ref="G491:J493">G492</f>
        <v>225</v>
      </c>
      <c r="H491" s="48">
        <f t="shared" si="25"/>
        <v>225</v>
      </c>
      <c r="I491" s="48">
        <f t="shared" si="25"/>
        <v>223.5</v>
      </c>
      <c r="J491" s="48">
        <f t="shared" si="25"/>
        <v>223.5</v>
      </c>
      <c r="K491" s="63">
        <f>I491/G491*100</f>
        <v>99.33333333333333</v>
      </c>
    </row>
    <row r="492" spans="1:11" ht="86.25">
      <c r="A492" s="2" t="s">
        <v>59</v>
      </c>
      <c r="B492" s="4" t="s">
        <v>268</v>
      </c>
      <c r="C492" s="4" t="s">
        <v>259</v>
      </c>
      <c r="D492" s="4" t="s">
        <v>58</v>
      </c>
      <c r="E492" s="4"/>
      <c r="F492" s="3"/>
      <c r="G492" s="53">
        <f t="shared" si="25"/>
        <v>225</v>
      </c>
      <c r="H492" s="53">
        <f t="shared" si="25"/>
        <v>225</v>
      </c>
      <c r="I492" s="53">
        <f t="shared" si="25"/>
        <v>223.5</v>
      </c>
      <c r="J492" s="53">
        <f t="shared" si="25"/>
        <v>223.5</v>
      </c>
      <c r="K492" s="83"/>
    </row>
    <row r="493" spans="1:11" ht="29.25">
      <c r="A493" s="2" t="s">
        <v>57</v>
      </c>
      <c r="B493" s="4" t="s">
        <v>268</v>
      </c>
      <c r="C493" s="4" t="s">
        <v>259</v>
      </c>
      <c r="D493" s="4" t="s">
        <v>56</v>
      </c>
      <c r="E493" s="4"/>
      <c r="F493" s="3"/>
      <c r="G493" s="53">
        <f t="shared" si="25"/>
        <v>225</v>
      </c>
      <c r="H493" s="53">
        <f t="shared" si="25"/>
        <v>225</v>
      </c>
      <c r="I493" s="53">
        <f t="shared" si="25"/>
        <v>223.5</v>
      </c>
      <c r="J493" s="53">
        <f t="shared" si="25"/>
        <v>223.5</v>
      </c>
      <c r="K493" s="83"/>
    </row>
    <row r="494" spans="1:11" ht="15">
      <c r="A494" s="7" t="s">
        <v>428</v>
      </c>
      <c r="B494" s="4" t="s">
        <v>268</v>
      </c>
      <c r="C494" s="4" t="s">
        <v>259</v>
      </c>
      <c r="D494" s="4" t="s">
        <v>56</v>
      </c>
      <c r="E494" s="4" t="s">
        <v>427</v>
      </c>
      <c r="F494" s="3"/>
      <c r="G494" s="53">
        <f>'Прилож №7'!H589</f>
        <v>225</v>
      </c>
      <c r="H494" s="53">
        <f>'Прилож №7'!I589</f>
        <v>225</v>
      </c>
      <c r="I494" s="53">
        <f>'Прилож №7'!J589</f>
        <v>223.5</v>
      </c>
      <c r="J494" s="53">
        <f>'Прилож №7'!K589</f>
        <v>223.5</v>
      </c>
      <c r="K494" s="83"/>
    </row>
    <row r="495" spans="1:11" ht="14.25">
      <c r="A495" s="7" t="s">
        <v>530</v>
      </c>
      <c r="B495" s="4" t="s">
        <v>268</v>
      </c>
      <c r="C495" s="4" t="s">
        <v>259</v>
      </c>
      <c r="D495" s="4" t="s">
        <v>528</v>
      </c>
      <c r="E495" s="6"/>
      <c r="F495" s="6"/>
      <c r="G495" s="53">
        <f>G496</f>
        <v>1526.7</v>
      </c>
      <c r="H495" s="53">
        <f aca="true" t="shared" si="26" ref="H495:J496">H496</f>
        <v>1526.7</v>
      </c>
      <c r="I495" s="53">
        <f t="shared" si="26"/>
        <v>1526.7</v>
      </c>
      <c r="J495" s="53">
        <f t="shared" si="26"/>
        <v>1526.7</v>
      </c>
      <c r="K495" s="83"/>
    </row>
    <row r="496" spans="1:11" ht="42.75">
      <c r="A496" s="7" t="s">
        <v>118</v>
      </c>
      <c r="B496" s="4" t="s">
        <v>268</v>
      </c>
      <c r="C496" s="4" t="s">
        <v>259</v>
      </c>
      <c r="D496" s="4" t="s">
        <v>115</v>
      </c>
      <c r="E496" s="6"/>
      <c r="F496" s="6"/>
      <c r="G496" s="53">
        <f>G497</f>
        <v>1526.7</v>
      </c>
      <c r="H496" s="53">
        <f t="shared" si="26"/>
        <v>1526.7</v>
      </c>
      <c r="I496" s="53">
        <f t="shared" si="26"/>
        <v>1526.7</v>
      </c>
      <c r="J496" s="53">
        <f t="shared" si="26"/>
        <v>1526.7</v>
      </c>
      <c r="K496" s="83"/>
    </row>
    <row r="497" spans="1:11" ht="57">
      <c r="A497" s="7" t="s">
        <v>117</v>
      </c>
      <c r="B497" s="4" t="s">
        <v>268</v>
      </c>
      <c r="C497" s="4" t="s">
        <v>259</v>
      </c>
      <c r="D497" s="4" t="s">
        <v>116</v>
      </c>
      <c r="E497" s="6"/>
      <c r="F497" s="6"/>
      <c r="G497" s="53">
        <f>G498+G499</f>
        <v>1526.7</v>
      </c>
      <c r="H497" s="53">
        <f>H498+H499</f>
        <v>1526.7</v>
      </c>
      <c r="I497" s="53">
        <f>I498+I499</f>
        <v>1526.7</v>
      </c>
      <c r="J497" s="53">
        <f>J498+J499</f>
        <v>1526.7</v>
      </c>
      <c r="K497" s="83"/>
    </row>
    <row r="498" spans="1:11" ht="42.75">
      <c r="A498" s="2" t="s">
        <v>429</v>
      </c>
      <c r="B498" s="4" t="s">
        <v>268</v>
      </c>
      <c r="C498" s="4" t="s">
        <v>259</v>
      </c>
      <c r="D498" s="4" t="s">
        <v>116</v>
      </c>
      <c r="E498" s="6" t="s">
        <v>402</v>
      </c>
      <c r="F498" s="6" t="s">
        <v>402</v>
      </c>
      <c r="G498" s="53">
        <f>'Прилож №7'!H593</f>
        <v>864.5</v>
      </c>
      <c r="H498" s="53">
        <f>'Прилож №7'!I593</f>
        <v>864.5</v>
      </c>
      <c r="I498" s="53">
        <f>'Прилож №7'!J593</f>
        <v>864.5</v>
      </c>
      <c r="J498" s="53">
        <f>'Прилож №7'!K593</f>
        <v>864.5</v>
      </c>
      <c r="K498" s="83"/>
    </row>
    <row r="499" spans="1:11" ht="42.75">
      <c r="A499" s="7" t="s">
        <v>434</v>
      </c>
      <c r="B499" s="4" t="s">
        <v>268</v>
      </c>
      <c r="C499" s="4" t="s">
        <v>259</v>
      </c>
      <c r="D499" s="4" t="s">
        <v>116</v>
      </c>
      <c r="E499" s="6" t="s">
        <v>433</v>
      </c>
      <c r="F499" s="6" t="s">
        <v>433</v>
      </c>
      <c r="G499" s="53">
        <f>'Прилож №7'!H594</f>
        <v>662.2</v>
      </c>
      <c r="H499" s="53">
        <f>'Прилож №7'!I594</f>
        <v>662.2</v>
      </c>
      <c r="I499" s="53">
        <f>'Прилож №7'!J594</f>
        <v>662.2</v>
      </c>
      <c r="J499" s="53">
        <f>'Прилож №7'!K594</f>
        <v>662.2</v>
      </c>
      <c r="K499" s="83"/>
    </row>
    <row r="500" spans="1:11" ht="15">
      <c r="A500" s="11" t="s">
        <v>223</v>
      </c>
      <c r="B500" s="3" t="s">
        <v>268</v>
      </c>
      <c r="C500" s="3" t="s">
        <v>259</v>
      </c>
      <c r="D500" s="3" t="s">
        <v>224</v>
      </c>
      <c r="E500" s="3"/>
      <c r="F500" s="5"/>
      <c r="G500" s="48">
        <f>G501</f>
        <v>280.1</v>
      </c>
      <c r="H500" s="48">
        <f aca="true" t="shared" si="27" ref="H500:J501">H501</f>
        <v>0</v>
      </c>
      <c r="I500" s="48">
        <f t="shared" si="27"/>
        <v>280.1</v>
      </c>
      <c r="J500" s="48">
        <f t="shared" si="27"/>
        <v>0</v>
      </c>
      <c r="K500" s="63">
        <f>I500/G500*100</f>
        <v>100</v>
      </c>
    </row>
    <row r="501" spans="1:11" ht="28.5">
      <c r="A501" s="57" t="s">
        <v>351</v>
      </c>
      <c r="B501" s="4" t="s">
        <v>268</v>
      </c>
      <c r="C501" s="4" t="s">
        <v>259</v>
      </c>
      <c r="D501" s="4" t="s">
        <v>376</v>
      </c>
      <c r="E501" s="4"/>
      <c r="F501" s="6"/>
      <c r="G501" s="53">
        <f>G502</f>
        <v>280.1</v>
      </c>
      <c r="H501" s="53">
        <f t="shared" si="27"/>
        <v>0</v>
      </c>
      <c r="I501" s="53">
        <f t="shared" si="27"/>
        <v>280.1</v>
      </c>
      <c r="J501" s="53">
        <f t="shared" si="27"/>
        <v>0</v>
      </c>
      <c r="K501" s="83"/>
    </row>
    <row r="502" spans="1:11" ht="14.25">
      <c r="A502" s="7" t="s">
        <v>399</v>
      </c>
      <c r="B502" s="4" t="s">
        <v>268</v>
      </c>
      <c r="C502" s="4" t="s">
        <v>259</v>
      </c>
      <c r="D502" s="4" t="s">
        <v>376</v>
      </c>
      <c r="E502" s="4" t="s">
        <v>398</v>
      </c>
      <c r="F502" s="6" t="s">
        <v>398</v>
      </c>
      <c r="G502" s="53">
        <f>'Прилож №7'!H597</f>
        <v>280.1</v>
      </c>
      <c r="H502" s="53">
        <f>'Прилож №7'!I597</f>
        <v>0</v>
      </c>
      <c r="I502" s="53">
        <f>'Прилож №7'!J597</f>
        <v>280.1</v>
      </c>
      <c r="J502" s="53">
        <f>'Прилож №7'!K597</f>
        <v>0</v>
      </c>
      <c r="K502" s="83"/>
    </row>
    <row r="503" spans="1:11" ht="15">
      <c r="A503" s="11" t="s">
        <v>357</v>
      </c>
      <c r="B503" s="3" t="s">
        <v>268</v>
      </c>
      <c r="C503" s="3" t="s">
        <v>261</v>
      </c>
      <c r="D503" s="3"/>
      <c r="E503" s="3"/>
      <c r="F503" s="5" t="s">
        <v>175</v>
      </c>
      <c r="G503" s="48">
        <f>G504+G512+G518</f>
        <v>31770.6</v>
      </c>
      <c r="H503" s="48">
        <f>H504+H512+H518</f>
        <v>0</v>
      </c>
      <c r="I503" s="48">
        <f>I504+I512+I518</f>
        <v>31689.3</v>
      </c>
      <c r="J503" s="48">
        <f>J504+J512+J518</f>
        <v>0</v>
      </c>
      <c r="K503" s="63">
        <f>I503/G503*100</f>
        <v>99.74410303865838</v>
      </c>
    </row>
    <row r="504" spans="1:11" ht="43.5">
      <c r="A504" s="2" t="s">
        <v>296</v>
      </c>
      <c r="B504" s="4" t="s">
        <v>268</v>
      </c>
      <c r="C504" s="4" t="s">
        <v>261</v>
      </c>
      <c r="D504" s="4" t="s">
        <v>293</v>
      </c>
      <c r="E504" s="3"/>
      <c r="F504" s="5"/>
      <c r="G504" s="53">
        <f>G505</f>
        <v>7795.4</v>
      </c>
      <c r="H504" s="53">
        <f>H505</f>
        <v>0</v>
      </c>
      <c r="I504" s="53">
        <f>I505</f>
        <v>7779.2</v>
      </c>
      <c r="J504" s="53">
        <f>J505</f>
        <v>0</v>
      </c>
      <c r="K504" s="83"/>
    </row>
    <row r="505" spans="1:11" ht="15">
      <c r="A505" s="2" t="s">
        <v>176</v>
      </c>
      <c r="B505" s="4" t="s">
        <v>268</v>
      </c>
      <c r="C505" s="4" t="s">
        <v>261</v>
      </c>
      <c r="D505" s="4" t="s">
        <v>295</v>
      </c>
      <c r="E505" s="3"/>
      <c r="F505" s="5"/>
      <c r="G505" s="53">
        <f>G506+G509</f>
        <v>7795.4</v>
      </c>
      <c r="H505" s="53">
        <f>H506+H509</f>
        <v>0</v>
      </c>
      <c r="I505" s="53">
        <f>I506+I509</f>
        <v>7779.2</v>
      </c>
      <c r="J505" s="53">
        <f>J506+J509</f>
        <v>0</v>
      </c>
      <c r="K505" s="83"/>
    </row>
    <row r="506" spans="1:11" ht="15">
      <c r="A506" s="2" t="s">
        <v>525</v>
      </c>
      <c r="B506" s="4" t="s">
        <v>268</v>
      </c>
      <c r="C506" s="4" t="s">
        <v>261</v>
      </c>
      <c r="D506" s="4" t="s">
        <v>295</v>
      </c>
      <c r="E506" s="4" t="s">
        <v>393</v>
      </c>
      <c r="F506" s="5"/>
      <c r="G506" s="53">
        <f>G507+G508</f>
        <v>7599.2</v>
      </c>
      <c r="H506" s="53">
        <f>H507+H508</f>
        <v>0</v>
      </c>
      <c r="I506" s="53">
        <f>I507+I508</f>
        <v>7583</v>
      </c>
      <c r="J506" s="53">
        <f>J507+J508</f>
        <v>0</v>
      </c>
      <c r="K506" s="83"/>
    </row>
    <row r="507" spans="1:11" ht="15">
      <c r="A507" s="8" t="s">
        <v>415</v>
      </c>
      <c r="B507" s="4" t="s">
        <v>268</v>
      </c>
      <c r="C507" s="4" t="s">
        <v>261</v>
      </c>
      <c r="D507" s="4" t="s">
        <v>295</v>
      </c>
      <c r="E507" s="4" t="s">
        <v>414</v>
      </c>
      <c r="F507" s="5"/>
      <c r="G507" s="53">
        <f>'Прилож №7'!H602</f>
        <v>7599.2</v>
      </c>
      <c r="H507" s="53">
        <f>'Прилож №7'!I602</f>
        <v>0</v>
      </c>
      <c r="I507" s="53">
        <f>'Прилож №7'!J602</f>
        <v>7583</v>
      </c>
      <c r="J507" s="53">
        <f>'Прилож №7'!K602</f>
        <v>0</v>
      </c>
      <c r="K507" s="83"/>
    </row>
    <row r="508" spans="1:11" ht="15">
      <c r="A508" s="8" t="s">
        <v>417</v>
      </c>
      <c r="B508" s="4" t="s">
        <v>268</v>
      </c>
      <c r="C508" s="4" t="s">
        <v>261</v>
      </c>
      <c r="D508" s="4" t="s">
        <v>295</v>
      </c>
      <c r="E508" s="4" t="s">
        <v>416</v>
      </c>
      <c r="F508" s="5"/>
      <c r="G508" s="53">
        <f>'Прилож №7'!H603</f>
        <v>0</v>
      </c>
      <c r="H508" s="53">
        <f>'Прилож №7'!I603</f>
        <v>0</v>
      </c>
      <c r="I508" s="53">
        <f>'Прилож №7'!J603</f>
        <v>0</v>
      </c>
      <c r="J508" s="53">
        <f>'Прилож №7'!K603</f>
        <v>0</v>
      </c>
      <c r="K508" s="83"/>
    </row>
    <row r="509" spans="1:11" ht="15">
      <c r="A509" s="8" t="s">
        <v>599</v>
      </c>
      <c r="B509" s="4" t="s">
        <v>268</v>
      </c>
      <c r="C509" s="4" t="s">
        <v>261</v>
      </c>
      <c r="D509" s="4" t="s">
        <v>295</v>
      </c>
      <c r="E509" s="4" t="s">
        <v>526</v>
      </c>
      <c r="F509" s="5"/>
      <c r="G509" s="53">
        <f>G510+G511</f>
        <v>196.2</v>
      </c>
      <c r="H509" s="53">
        <f>H510+H511</f>
        <v>0</v>
      </c>
      <c r="I509" s="53">
        <f>I510+I511</f>
        <v>196.2</v>
      </c>
      <c r="J509" s="53">
        <f>J510+J511</f>
        <v>0</v>
      </c>
      <c r="K509" s="83"/>
    </row>
    <row r="510" spans="1:11" ht="28.5">
      <c r="A510" s="2" t="s">
        <v>440</v>
      </c>
      <c r="B510" s="4" t="s">
        <v>268</v>
      </c>
      <c r="C510" s="4" t="s">
        <v>261</v>
      </c>
      <c r="D510" s="4" t="s">
        <v>295</v>
      </c>
      <c r="E510" s="4" t="s">
        <v>437</v>
      </c>
      <c r="F510" s="6" t="s">
        <v>294</v>
      </c>
      <c r="G510" s="53">
        <f>'Прилож №7'!H605</f>
        <v>127.8</v>
      </c>
      <c r="H510" s="53">
        <f>'Прилож №7'!I605</f>
        <v>0</v>
      </c>
      <c r="I510" s="53">
        <f>'Прилож №7'!J605</f>
        <v>127.8</v>
      </c>
      <c r="J510" s="53">
        <f>'Прилож №7'!K605</f>
        <v>0</v>
      </c>
      <c r="K510" s="83"/>
    </row>
    <row r="511" spans="1:11" ht="28.5">
      <c r="A511" s="2" t="s">
        <v>431</v>
      </c>
      <c r="B511" s="4" t="s">
        <v>268</v>
      </c>
      <c r="C511" s="4" t="s">
        <v>261</v>
      </c>
      <c r="D511" s="4" t="s">
        <v>295</v>
      </c>
      <c r="E511" s="4" t="s">
        <v>421</v>
      </c>
      <c r="F511" s="6"/>
      <c r="G511" s="53">
        <f>'Прилож №7'!H606</f>
        <v>68.4</v>
      </c>
      <c r="H511" s="53">
        <f>'Прилож №7'!I606</f>
        <v>0</v>
      </c>
      <c r="I511" s="53">
        <f>'Прилож №7'!J606</f>
        <v>68.4</v>
      </c>
      <c r="J511" s="53">
        <f>'Прилож №7'!K606</f>
        <v>0</v>
      </c>
      <c r="K511" s="83"/>
    </row>
    <row r="512" spans="1:11" ht="57">
      <c r="A512" s="2" t="s">
        <v>214</v>
      </c>
      <c r="B512" s="4" t="s">
        <v>268</v>
      </c>
      <c r="C512" s="4" t="s">
        <v>261</v>
      </c>
      <c r="D512" s="4" t="s">
        <v>168</v>
      </c>
      <c r="E512" s="4"/>
      <c r="F512" s="6"/>
      <c r="G512" s="53">
        <f>G513+G515</f>
        <v>6992</v>
      </c>
      <c r="H512" s="53">
        <f>H513+H515</f>
        <v>0</v>
      </c>
      <c r="I512" s="53">
        <f>I513+I515</f>
        <v>6992</v>
      </c>
      <c r="J512" s="53">
        <f>J513+J515</f>
        <v>0</v>
      </c>
      <c r="K512" s="83"/>
    </row>
    <row r="513" spans="1:11" ht="42.75">
      <c r="A513" s="2" t="s">
        <v>601</v>
      </c>
      <c r="B513" s="4" t="s">
        <v>268</v>
      </c>
      <c r="C513" s="4" t="s">
        <v>261</v>
      </c>
      <c r="D513" s="4" t="s">
        <v>38</v>
      </c>
      <c r="E513" s="4"/>
      <c r="F513" s="6"/>
      <c r="G513" s="53">
        <f>G514</f>
        <v>73.5</v>
      </c>
      <c r="H513" s="53">
        <f>H514</f>
        <v>0</v>
      </c>
      <c r="I513" s="53">
        <f>I514</f>
        <v>73.5</v>
      </c>
      <c r="J513" s="53">
        <f>J514</f>
        <v>0</v>
      </c>
      <c r="K513" s="83"/>
    </row>
    <row r="514" spans="1:11" ht="14.25">
      <c r="A514" s="8" t="s">
        <v>157</v>
      </c>
      <c r="B514" s="4" t="s">
        <v>268</v>
      </c>
      <c r="C514" s="4" t="s">
        <v>261</v>
      </c>
      <c r="D514" s="4" t="s">
        <v>38</v>
      </c>
      <c r="E514" s="4" t="s">
        <v>402</v>
      </c>
      <c r="F514" s="6" t="s">
        <v>402</v>
      </c>
      <c r="G514" s="53">
        <f>'Прилож №7'!H609</f>
        <v>73.5</v>
      </c>
      <c r="H514" s="53">
        <f>'Прилож №7'!I609</f>
        <v>0</v>
      </c>
      <c r="I514" s="53">
        <f>'Прилож №7'!J609</f>
        <v>73.5</v>
      </c>
      <c r="J514" s="53">
        <f>'Прилож №7'!K609</f>
        <v>0</v>
      </c>
      <c r="K514" s="83"/>
    </row>
    <row r="515" spans="1:11" ht="14.25">
      <c r="A515" s="8" t="s">
        <v>157</v>
      </c>
      <c r="B515" s="4" t="s">
        <v>268</v>
      </c>
      <c r="C515" s="4" t="s">
        <v>261</v>
      </c>
      <c r="D515" s="4" t="s">
        <v>276</v>
      </c>
      <c r="E515" s="4"/>
      <c r="F515" s="6"/>
      <c r="G515" s="53">
        <f>G516+G517</f>
        <v>6918.5</v>
      </c>
      <c r="H515" s="53">
        <f>H516+H517</f>
        <v>0</v>
      </c>
      <c r="I515" s="53">
        <f>I516+I517</f>
        <v>6918.5</v>
      </c>
      <c r="J515" s="53">
        <f>J516+J517</f>
        <v>0</v>
      </c>
      <c r="K515" s="83"/>
    </row>
    <row r="516" spans="1:11" ht="42.75">
      <c r="A516" s="2" t="s">
        <v>436</v>
      </c>
      <c r="B516" s="4" t="s">
        <v>268</v>
      </c>
      <c r="C516" s="4" t="s">
        <v>261</v>
      </c>
      <c r="D516" s="4" t="s">
        <v>276</v>
      </c>
      <c r="E516" s="4" t="s">
        <v>402</v>
      </c>
      <c r="F516" s="6"/>
      <c r="G516" s="53">
        <f>'Прилож №7'!H611</f>
        <v>6918.5</v>
      </c>
      <c r="H516" s="53">
        <f>'Прилож №7'!I611</f>
        <v>0</v>
      </c>
      <c r="I516" s="53">
        <f>'Прилож №7'!J611</f>
        <v>6918.5</v>
      </c>
      <c r="J516" s="53">
        <f>'Прилож №7'!K611</f>
        <v>0</v>
      </c>
      <c r="K516" s="83"/>
    </row>
    <row r="517" spans="1:11" ht="14.25">
      <c r="A517" s="7" t="s">
        <v>399</v>
      </c>
      <c r="B517" s="4" t="s">
        <v>268</v>
      </c>
      <c r="C517" s="4" t="s">
        <v>261</v>
      </c>
      <c r="D517" s="4" t="s">
        <v>276</v>
      </c>
      <c r="E517" s="4" t="s">
        <v>398</v>
      </c>
      <c r="F517" s="6"/>
      <c r="G517" s="53">
        <f>'Прилож №7'!H612</f>
        <v>0</v>
      </c>
      <c r="H517" s="53">
        <f>'Прилож №7'!I612</f>
        <v>0</v>
      </c>
      <c r="I517" s="53">
        <f>'Прилож №7'!J612</f>
        <v>0</v>
      </c>
      <c r="J517" s="53">
        <f>'Прилож №7'!K612</f>
        <v>0</v>
      </c>
      <c r="K517" s="83"/>
    </row>
    <row r="518" spans="1:11" ht="14.25">
      <c r="A518" s="8" t="s">
        <v>223</v>
      </c>
      <c r="B518" s="4" t="s">
        <v>268</v>
      </c>
      <c r="C518" s="4" t="s">
        <v>261</v>
      </c>
      <c r="D518" s="4" t="s">
        <v>224</v>
      </c>
      <c r="E518" s="4"/>
      <c r="F518" s="6"/>
      <c r="G518" s="53">
        <f>G519+G524</f>
        <v>16983.2</v>
      </c>
      <c r="H518" s="53">
        <f>H519+H524</f>
        <v>0</v>
      </c>
      <c r="I518" s="53">
        <f>I519+I524</f>
        <v>16918.1</v>
      </c>
      <c r="J518" s="53">
        <f>J519+J524</f>
        <v>0</v>
      </c>
      <c r="K518" s="83"/>
    </row>
    <row r="519" spans="1:11" ht="42.75">
      <c r="A519" s="2" t="s">
        <v>360</v>
      </c>
      <c r="B519" s="4" t="s">
        <v>268</v>
      </c>
      <c r="C519" s="4" t="s">
        <v>261</v>
      </c>
      <c r="D519" s="4" t="s">
        <v>277</v>
      </c>
      <c r="E519" s="4"/>
      <c r="F519" s="6"/>
      <c r="G519" s="53">
        <f>G520+G521</f>
        <v>1710.1</v>
      </c>
      <c r="H519" s="53">
        <f>H520+H521</f>
        <v>0</v>
      </c>
      <c r="I519" s="53">
        <f>I520+I521</f>
        <v>1692.2</v>
      </c>
      <c r="J519" s="53">
        <f>J520+J521</f>
        <v>0</v>
      </c>
      <c r="K519" s="83"/>
    </row>
    <row r="520" spans="1:11" ht="14.25">
      <c r="A520" s="8" t="s">
        <v>417</v>
      </c>
      <c r="B520" s="4" t="s">
        <v>268</v>
      </c>
      <c r="C520" s="4" t="s">
        <v>261</v>
      </c>
      <c r="D520" s="4" t="s">
        <v>277</v>
      </c>
      <c r="E520" s="4" t="s">
        <v>416</v>
      </c>
      <c r="F520" s="6"/>
      <c r="G520" s="53">
        <f>'Прилож №7'!H615</f>
        <v>1166.8999999999999</v>
      </c>
      <c r="H520" s="53">
        <f>'Прилож №7'!I615</f>
        <v>0</v>
      </c>
      <c r="I520" s="53">
        <f>'Прилож №7'!J615</f>
        <v>1166.9</v>
      </c>
      <c r="J520" s="53">
        <f>'Прилож №7'!K615</f>
        <v>0</v>
      </c>
      <c r="K520" s="83"/>
    </row>
    <row r="521" spans="1:11" ht="14.25">
      <c r="A521" s="8" t="s">
        <v>599</v>
      </c>
      <c r="B521" s="4" t="s">
        <v>268</v>
      </c>
      <c r="C521" s="4" t="s">
        <v>261</v>
      </c>
      <c r="D521" s="4" t="s">
        <v>277</v>
      </c>
      <c r="E521" s="4" t="s">
        <v>526</v>
      </c>
      <c r="F521" s="6"/>
      <c r="G521" s="53">
        <f>G522+G523</f>
        <v>543.2</v>
      </c>
      <c r="H521" s="53">
        <f>H522+H523</f>
        <v>0</v>
      </c>
      <c r="I521" s="53">
        <f>I522+I523</f>
        <v>525.3</v>
      </c>
      <c r="J521" s="53">
        <f>J522+J523</f>
        <v>0</v>
      </c>
      <c r="K521" s="83"/>
    </row>
    <row r="522" spans="1:11" ht="28.5">
      <c r="A522" s="2" t="s">
        <v>440</v>
      </c>
      <c r="B522" s="4" t="s">
        <v>268</v>
      </c>
      <c r="C522" s="4" t="s">
        <v>261</v>
      </c>
      <c r="D522" s="4" t="s">
        <v>277</v>
      </c>
      <c r="E522" s="4" t="s">
        <v>437</v>
      </c>
      <c r="F522" s="6"/>
      <c r="G522" s="53">
        <f>'Прилож №7'!H617</f>
        <v>84.6</v>
      </c>
      <c r="H522" s="53">
        <f>'Прилож №7'!I617</f>
        <v>0</v>
      </c>
      <c r="I522" s="53">
        <f>'Прилож №7'!J617</f>
        <v>84.6</v>
      </c>
      <c r="J522" s="53">
        <f>'Прилож №7'!K617</f>
        <v>0</v>
      </c>
      <c r="K522" s="83"/>
    </row>
    <row r="523" spans="1:11" ht="28.5">
      <c r="A523" s="2" t="s">
        <v>431</v>
      </c>
      <c r="B523" s="4" t="s">
        <v>268</v>
      </c>
      <c r="C523" s="4" t="s">
        <v>261</v>
      </c>
      <c r="D523" s="4" t="s">
        <v>277</v>
      </c>
      <c r="E523" s="4" t="s">
        <v>421</v>
      </c>
      <c r="F523" s="6"/>
      <c r="G523" s="53">
        <f>'Прилож №7'!H618</f>
        <v>458.6</v>
      </c>
      <c r="H523" s="53">
        <f>'Прилож №7'!I618</f>
        <v>0</v>
      </c>
      <c r="I523" s="53">
        <f>'Прилож №7'!J618</f>
        <v>440.7</v>
      </c>
      <c r="J523" s="53">
        <f>'Прилож №7'!K618</f>
        <v>0</v>
      </c>
      <c r="K523" s="83"/>
    </row>
    <row r="524" spans="1:11" ht="28.5">
      <c r="A524" s="2" t="s">
        <v>349</v>
      </c>
      <c r="B524" s="4" t="s">
        <v>268</v>
      </c>
      <c r="C524" s="4" t="s">
        <v>261</v>
      </c>
      <c r="D524" s="4" t="s">
        <v>378</v>
      </c>
      <c r="E524" s="4"/>
      <c r="F524" s="6"/>
      <c r="G524" s="53">
        <f>G525+G526+G527+G528</f>
        <v>15273.1</v>
      </c>
      <c r="H524" s="53">
        <f>H525+H526+H527+H528</f>
        <v>0</v>
      </c>
      <c r="I524" s="53">
        <f>I525+I526+I527+I528</f>
        <v>15225.9</v>
      </c>
      <c r="J524" s="53">
        <f>J525+J526+J527+J528</f>
        <v>0</v>
      </c>
      <c r="K524" s="83"/>
    </row>
    <row r="525" spans="1:11" ht="28.5">
      <c r="A525" s="2" t="s">
        <v>431</v>
      </c>
      <c r="B525" s="4" t="s">
        <v>268</v>
      </c>
      <c r="C525" s="4" t="s">
        <v>261</v>
      </c>
      <c r="D525" s="4" t="s">
        <v>378</v>
      </c>
      <c r="E525" s="4" t="s">
        <v>421</v>
      </c>
      <c r="F525" s="6"/>
      <c r="G525" s="53">
        <f>'Прилож №7'!H620+'Прилож №7'!H269</f>
        <v>1439.3</v>
      </c>
      <c r="H525" s="53">
        <f>'Прилож №7'!I620+'Прилож №7'!I269</f>
        <v>0</v>
      </c>
      <c r="I525" s="53">
        <f>'Прилож №7'!J620+'Прилож №7'!J269</f>
        <v>1433.2</v>
      </c>
      <c r="J525" s="53">
        <f>'Прилож №7'!K620+'Прилож №7'!K269</f>
        <v>0</v>
      </c>
      <c r="K525" s="83"/>
    </row>
    <row r="526" spans="1:11" ht="28.5">
      <c r="A526" s="2" t="str">
        <f>'Прилож №7'!A621</f>
        <v>Пособия и компенсации гражданам и иные социальные выплаты, кроме публичных нормативных обязательств</v>
      </c>
      <c r="B526" s="4" t="s">
        <v>268</v>
      </c>
      <c r="C526" s="4" t="s">
        <v>261</v>
      </c>
      <c r="D526" s="4" t="s">
        <v>378</v>
      </c>
      <c r="E526" s="4" t="s">
        <v>407</v>
      </c>
      <c r="F526" s="6"/>
      <c r="G526" s="53">
        <f>'Прилож №7'!H621</f>
        <v>14</v>
      </c>
      <c r="H526" s="53">
        <f>'Прилож №7'!I621</f>
        <v>0</v>
      </c>
      <c r="I526" s="53">
        <f>'Прилож №7'!J621</f>
        <v>13.7</v>
      </c>
      <c r="J526" s="53">
        <f>'Прилож №7'!K621</f>
        <v>0</v>
      </c>
      <c r="K526" s="83"/>
    </row>
    <row r="527" spans="1:11" ht="14.25">
      <c r="A527" s="7" t="s">
        <v>399</v>
      </c>
      <c r="B527" s="4" t="s">
        <v>268</v>
      </c>
      <c r="C527" s="4" t="s">
        <v>261</v>
      </c>
      <c r="D527" s="4" t="s">
        <v>378</v>
      </c>
      <c r="E527" s="4" t="s">
        <v>398</v>
      </c>
      <c r="F527" s="6"/>
      <c r="G527" s="53">
        <f>'Прилож №7'!H622</f>
        <v>3004.2</v>
      </c>
      <c r="H527" s="53">
        <f>'Прилож №7'!I622</f>
        <v>0</v>
      </c>
      <c r="I527" s="53">
        <f>'Прилож №7'!J622</f>
        <v>3004.2</v>
      </c>
      <c r="J527" s="53">
        <f>'Прилож №7'!K622</f>
        <v>0</v>
      </c>
      <c r="K527" s="83"/>
    </row>
    <row r="528" spans="1:11" ht="14.25">
      <c r="A528" s="7" t="s">
        <v>428</v>
      </c>
      <c r="B528" s="4" t="s">
        <v>268</v>
      </c>
      <c r="C528" s="4" t="s">
        <v>261</v>
      </c>
      <c r="D528" s="4" t="s">
        <v>378</v>
      </c>
      <c r="E528" s="4" t="s">
        <v>427</v>
      </c>
      <c r="F528" s="6"/>
      <c r="G528" s="53">
        <f>'Прилож №7'!H623</f>
        <v>10815.6</v>
      </c>
      <c r="H528" s="53">
        <f>'Прилож №7'!I623</f>
        <v>0</v>
      </c>
      <c r="I528" s="53">
        <f>'Прилож №7'!J623</f>
        <v>10774.8</v>
      </c>
      <c r="J528" s="53">
        <f>'Прилож №7'!K623</f>
        <v>0</v>
      </c>
      <c r="K528" s="83"/>
    </row>
    <row r="529" spans="1:11" ht="15">
      <c r="A529" s="11" t="s">
        <v>330</v>
      </c>
      <c r="B529" s="3" t="s">
        <v>265</v>
      </c>
      <c r="C529" s="3"/>
      <c r="D529" s="3"/>
      <c r="E529" s="3"/>
      <c r="F529" s="4"/>
      <c r="G529" s="48">
        <f>G530+G548+G561+G565+G572</f>
        <v>297003.6</v>
      </c>
      <c r="H529" s="48">
        <f>H530+H548+H561+H565+H572</f>
        <v>288195.1</v>
      </c>
      <c r="I529" s="48">
        <f>I530+I548+I561+I565+I572</f>
        <v>292681.39999999997</v>
      </c>
      <c r="J529" s="48">
        <f>J530+J548+J561+J565+J572</f>
        <v>284193.8</v>
      </c>
      <c r="K529" s="63">
        <f>I529/G529*100</f>
        <v>98.54473144433265</v>
      </c>
    </row>
    <row r="530" spans="1:11" ht="15">
      <c r="A530" s="11" t="s">
        <v>282</v>
      </c>
      <c r="B530" s="3" t="s">
        <v>265</v>
      </c>
      <c r="C530" s="3" t="s">
        <v>259</v>
      </c>
      <c r="D530" s="3"/>
      <c r="E530" s="3"/>
      <c r="F530" s="3"/>
      <c r="G530" s="48">
        <f>G531+G538+G543</f>
        <v>66505.5</v>
      </c>
      <c r="H530" s="48">
        <f>H531+H538+H543</f>
        <v>61317</v>
      </c>
      <c r="I530" s="48">
        <f>I531+I538+I543</f>
        <v>66397.6</v>
      </c>
      <c r="J530" s="48">
        <f>J531+J538+J543</f>
        <v>61210</v>
      </c>
      <c r="K530" s="63">
        <f>I530/G530*100</f>
        <v>99.8377577794318</v>
      </c>
    </row>
    <row r="531" spans="1:11" ht="14.25">
      <c r="A531" s="8" t="s">
        <v>322</v>
      </c>
      <c r="B531" s="4" t="s">
        <v>265</v>
      </c>
      <c r="C531" s="4" t="s">
        <v>259</v>
      </c>
      <c r="D531" s="4" t="s">
        <v>169</v>
      </c>
      <c r="E531" s="4"/>
      <c r="F531" s="4"/>
      <c r="G531" s="53">
        <f>G532+G534+G536</f>
        <v>64407</v>
      </c>
      <c r="H531" s="53">
        <f>H532+H534+H536</f>
        <v>59218.5</v>
      </c>
      <c r="I531" s="53">
        <f>I532+I534+I536</f>
        <v>64406.1</v>
      </c>
      <c r="J531" s="53">
        <f>J532+J534+J536</f>
        <v>59218.5</v>
      </c>
      <c r="K531" s="83"/>
    </row>
    <row r="532" spans="1:11" ht="42.75">
      <c r="A532" s="2" t="s">
        <v>618</v>
      </c>
      <c r="B532" s="4" t="s">
        <v>265</v>
      </c>
      <c r="C532" s="4" t="s">
        <v>259</v>
      </c>
      <c r="D532" s="4" t="s">
        <v>538</v>
      </c>
      <c r="E532" s="4"/>
      <c r="F532" s="6"/>
      <c r="G532" s="53">
        <f>G533</f>
        <v>57843.5</v>
      </c>
      <c r="H532" s="53">
        <f>H533</f>
        <v>57843.5</v>
      </c>
      <c r="I532" s="53">
        <f>I533</f>
        <v>57843.5</v>
      </c>
      <c r="J532" s="53">
        <f>J533</f>
        <v>57843.5</v>
      </c>
      <c r="K532" s="83"/>
    </row>
    <row r="533" spans="1:11" ht="42.75">
      <c r="A533" s="2" t="s">
        <v>429</v>
      </c>
      <c r="B533" s="4" t="s">
        <v>265</v>
      </c>
      <c r="C533" s="4" t="s">
        <v>259</v>
      </c>
      <c r="D533" s="4" t="s">
        <v>538</v>
      </c>
      <c r="E533" s="4" t="s">
        <v>402</v>
      </c>
      <c r="F533" s="6" t="s">
        <v>394</v>
      </c>
      <c r="G533" s="53">
        <f>'Прилож №7'!H274</f>
        <v>57843.5</v>
      </c>
      <c r="H533" s="53">
        <f>'Прилож №7'!I274</f>
        <v>57843.5</v>
      </c>
      <c r="I533" s="53">
        <f>'Прилож №7'!J274</f>
        <v>57843.5</v>
      </c>
      <c r="J533" s="53">
        <f>'Прилож №7'!K274</f>
        <v>57843.5</v>
      </c>
      <c r="K533" s="83"/>
    </row>
    <row r="534" spans="1:11" ht="42.75">
      <c r="A534" s="2" t="s">
        <v>633</v>
      </c>
      <c r="B534" s="4" t="s">
        <v>265</v>
      </c>
      <c r="C534" s="4" t="s">
        <v>259</v>
      </c>
      <c r="D534" s="4" t="s">
        <v>539</v>
      </c>
      <c r="E534" s="4"/>
      <c r="F534" s="6"/>
      <c r="G534" s="53">
        <f>G535</f>
        <v>1375</v>
      </c>
      <c r="H534" s="53">
        <f>H535</f>
        <v>1375</v>
      </c>
      <c r="I534" s="53">
        <f>I535</f>
        <v>1375</v>
      </c>
      <c r="J534" s="53">
        <f>J535</f>
        <v>1375</v>
      </c>
      <c r="K534" s="83"/>
    </row>
    <row r="535" spans="1:11" ht="42.75">
      <c r="A535" s="2" t="s">
        <v>429</v>
      </c>
      <c r="B535" s="4" t="s">
        <v>265</v>
      </c>
      <c r="C535" s="4" t="s">
        <v>259</v>
      </c>
      <c r="D535" s="4" t="s">
        <v>539</v>
      </c>
      <c r="E535" s="4" t="s">
        <v>402</v>
      </c>
      <c r="F535" s="6" t="s">
        <v>402</v>
      </c>
      <c r="G535" s="53">
        <f>'Прилож №7'!H276</f>
        <v>1375</v>
      </c>
      <c r="H535" s="53">
        <f>'Прилож №7'!I276</f>
        <v>1375</v>
      </c>
      <c r="I535" s="53">
        <f>'Прилож №7'!J276</f>
        <v>1375</v>
      </c>
      <c r="J535" s="53">
        <f>'Прилож №7'!K276</f>
        <v>1375</v>
      </c>
      <c r="K535" s="83"/>
    </row>
    <row r="536" spans="1:11" ht="14.25">
      <c r="A536" s="8" t="s">
        <v>157</v>
      </c>
      <c r="B536" s="4" t="s">
        <v>265</v>
      </c>
      <c r="C536" s="4" t="s">
        <v>259</v>
      </c>
      <c r="D536" s="4" t="s">
        <v>19</v>
      </c>
      <c r="E536" s="4"/>
      <c r="F536" s="6"/>
      <c r="G536" s="53">
        <f>G537</f>
        <v>5188.5</v>
      </c>
      <c r="H536" s="53">
        <f>H537</f>
        <v>0</v>
      </c>
      <c r="I536" s="53">
        <f>I537</f>
        <v>5187.6</v>
      </c>
      <c r="J536" s="53">
        <f>J537</f>
        <v>0</v>
      </c>
      <c r="K536" s="83"/>
    </row>
    <row r="537" spans="1:11" ht="14.25">
      <c r="A537" s="7" t="s">
        <v>399</v>
      </c>
      <c r="B537" s="4" t="s">
        <v>265</v>
      </c>
      <c r="C537" s="4" t="s">
        <v>259</v>
      </c>
      <c r="D537" s="4" t="s">
        <v>19</v>
      </c>
      <c r="E537" s="4" t="s">
        <v>398</v>
      </c>
      <c r="F537" s="6"/>
      <c r="G537" s="53">
        <f>'Прилож №7'!H278</f>
        <v>5188.5</v>
      </c>
      <c r="H537" s="53">
        <f>'Прилож №7'!I278</f>
        <v>0</v>
      </c>
      <c r="I537" s="53">
        <f>'Прилож №7'!J278</f>
        <v>5187.6</v>
      </c>
      <c r="J537" s="53">
        <f>'Прилож №7'!K278</f>
        <v>0</v>
      </c>
      <c r="K537" s="83"/>
    </row>
    <row r="538" spans="1:11" ht="15">
      <c r="A538" s="11" t="s">
        <v>303</v>
      </c>
      <c r="B538" s="3" t="s">
        <v>265</v>
      </c>
      <c r="C538" s="3" t="s">
        <v>259</v>
      </c>
      <c r="D538" s="3" t="s">
        <v>304</v>
      </c>
      <c r="E538" s="3"/>
      <c r="F538" s="3"/>
      <c r="G538" s="48">
        <f>G539+G541</f>
        <v>1515.5</v>
      </c>
      <c r="H538" s="48">
        <f>H539+H541</f>
        <v>1515.5</v>
      </c>
      <c r="I538" s="48">
        <f>I539+I541</f>
        <v>1515.5</v>
      </c>
      <c r="J538" s="48">
        <f>J539+J541</f>
        <v>1515.5</v>
      </c>
      <c r="K538" s="83"/>
    </row>
    <row r="539" spans="1:11" ht="28.5">
      <c r="A539" s="2" t="s">
        <v>619</v>
      </c>
      <c r="B539" s="4" t="s">
        <v>265</v>
      </c>
      <c r="C539" s="4" t="s">
        <v>259</v>
      </c>
      <c r="D539" s="4" t="s">
        <v>540</v>
      </c>
      <c r="E539" s="4"/>
      <c r="F539" s="6"/>
      <c r="G539" s="53">
        <f>G540</f>
        <v>1433.5</v>
      </c>
      <c r="H539" s="53">
        <f>H540</f>
        <v>1433.5</v>
      </c>
      <c r="I539" s="53">
        <f>I540</f>
        <v>1433.5</v>
      </c>
      <c r="J539" s="53">
        <f>J540</f>
        <v>1433.5</v>
      </c>
      <c r="K539" s="83"/>
    </row>
    <row r="540" spans="1:11" ht="42.75">
      <c r="A540" s="2" t="s">
        <v>429</v>
      </c>
      <c r="B540" s="4" t="s">
        <v>265</v>
      </c>
      <c r="C540" s="4" t="s">
        <v>259</v>
      </c>
      <c r="D540" s="4" t="s">
        <v>540</v>
      </c>
      <c r="E540" s="4" t="s">
        <v>402</v>
      </c>
      <c r="F540" s="6" t="s">
        <v>394</v>
      </c>
      <c r="G540" s="53">
        <f>'Прилож №7'!H281</f>
        <v>1433.5</v>
      </c>
      <c r="H540" s="53">
        <f>'Прилож №7'!I281</f>
        <v>1433.5</v>
      </c>
      <c r="I540" s="53">
        <f>'Прилож №7'!J281</f>
        <v>1433.5</v>
      </c>
      <c r="J540" s="53">
        <f>'Прилож №7'!K281</f>
        <v>1433.5</v>
      </c>
      <c r="K540" s="83"/>
    </row>
    <row r="541" spans="1:11" ht="42.75">
      <c r="A541" s="2" t="s">
        <v>634</v>
      </c>
      <c r="B541" s="4" t="s">
        <v>265</v>
      </c>
      <c r="C541" s="4" t="s">
        <v>259</v>
      </c>
      <c r="D541" s="4" t="s">
        <v>541</v>
      </c>
      <c r="E541" s="4"/>
      <c r="F541" s="6"/>
      <c r="G541" s="53">
        <f>G542</f>
        <v>82</v>
      </c>
      <c r="H541" s="53">
        <f>H542</f>
        <v>82</v>
      </c>
      <c r="I541" s="53">
        <f>I542</f>
        <v>82</v>
      </c>
      <c r="J541" s="53">
        <f>J542</f>
        <v>82</v>
      </c>
      <c r="K541" s="83"/>
    </row>
    <row r="542" spans="1:11" ht="42.75">
      <c r="A542" s="2" t="s">
        <v>429</v>
      </c>
      <c r="B542" s="4" t="s">
        <v>265</v>
      </c>
      <c r="C542" s="4" t="s">
        <v>259</v>
      </c>
      <c r="D542" s="4" t="s">
        <v>541</v>
      </c>
      <c r="E542" s="4" t="s">
        <v>402</v>
      </c>
      <c r="F542" s="6" t="s">
        <v>402</v>
      </c>
      <c r="G542" s="53">
        <f>'Прилож №7'!H283</f>
        <v>82</v>
      </c>
      <c r="H542" s="53">
        <f>'Прилож №7'!I283</f>
        <v>82</v>
      </c>
      <c r="I542" s="53">
        <f>'Прилож №7'!J283</f>
        <v>82</v>
      </c>
      <c r="J542" s="53">
        <f>'Прилож №7'!K283</f>
        <v>82</v>
      </c>
      <c r="K542" s="83"/>
    </row>
    <row r="543" spans="1:11" ht="15">
      <c r="A543" s="11" t="s">
        <v>530</v>
      </c>
      <c r="B543" s="3" t="s">
        <v>265</v>
      </c>
      <c r="C543" s="3" t="s">
        <v>259</v>
      </c>
      <c r="D543" s="3" t="s">
        <v>528</v>
      </c>
      <c r="E543" s="3"/>
      <c r="F543" s="5"/>
      <c r="G543" s="48">
        <f aca="true" t="shared" si="28" ref="G543:J546">G544</f>
        <v>583</v>
      </c>
      <c r="H543" s="48">
        <f t="shared" si="28"/>
        <v>583</v>
      </c>
      <c r="I543" s="48">
        <f t="shared" si="28"/>
        <v>476</v>
      </c>
      <c r="J543" s="48">
        <f t="shared" si="28"/>
        <v>476</v>
      </c>
      <c r="K543" s="83"/>
    </row>
    <row r="544" spans="1:11" ht="57">
      <c r="A544" s="2" t="s">
        <v>637</v>
      </c>
      <c r="B544" s="4" t="s">
        <v>265</v>
      </c>
      <c r="C544" s="4" t="s">
        <v>259</v>
      </c>
      <c r="D544" s="4" t="s">
        <v>636</v>
      </c>
      <c r="E544" s="4"/>
      <c r="F544" s="6"/>
      <c r="G544" s="53">
        <f t="shared" si="28"/>
        <v>583</v>
      </c>
      <c r="H544" s="53">
        <f t="shared" si="28"/>
        <v>583</v>
      </c>
      <c r="I544" s="53">
        <f t="shared" si="28"/>
        <v>476</v>
      </c>
      <c r="J544" s="53">
        <f t="shared" si="28"/>
        <v>476</v>
      </c>
      <c r="K544" s="83"/>
    </row>
    <row r="545" spans="1:11" ht="57">
      <c r="A545" s="2" t="s">
        <v>542</v>
      </c>
      <c r="B545" s="4" t="s">
        <v>265</v>
      </c>
      <c r="C545" s="4" t="s">
        <v>259</v>
      </c>
      <c r="D545" s="4" t="s">
        <v>68</v>
      </c>
      <c r="E545" s="4"/>
      <c r="F545" s="6"/>
      <c r="G545" s="53">
        <f t="shared" si="28"/>
        <v>583</v>
      </c>
      <c r="H545" s="53">
        <f t="shared" si="28"/>
        <v>583</v>
      </c>
      <c r="I545" s="53">
        <f t="shared" si="28"/>
        <v>476</v>
      </c>
      <c r="J545" s="53">
        <f t="shared" si="28"/>
        <v>476</v>
      </c>
      <c r="K545" s="83"/>
    </row>
    <row r="546" spans="1:11" ht="47.25" customHeight="1">
      <c r="A546" s="2" t="s">
        <v>70</v>
      </c>
      <c r="B546" s="4" t="s">
        <v>265</v>
      </c>
      <c r="C546" s="4" t="s">
        <v>259</v>
      </c>
      <c r="D546" s="4" t="s">
        <v>69</v>
      </c>
      <c r="E546" s="4"/>
      <c r="F546" s="6"/>
      <c r="G546" s="53">
        <f t="shared" si="28"/>
        <v>583</v>
      </c>
      <c r="H546" s="53">
        <f t="shared" si="28"/>
        <v>583</v>
      </c>
      <c r="I546" s="53">
        <f t="shared" si="28"/>
        <v>476</v>
      </c>
      <c r="J546" s="53">
        <f t="shared" si="28"/>
        <v>476</v>
      </c>
      <c r="K546" s="83"/>
    </row>
    <row r="547" spans="1:11" ht="14.25">
      <c r="A547" s="7" t="s">
        <v>399</v>
      </c>
      <c r="B547" s="4" t="s">
        <v>265</v>
      </c>
      <c r="C547" s="4" t="s">
        <v>259</v>
      </c>
      <c r="D547" s="4" t="s">
        <v>69</v>
      </c>
      <c r="E547" s="4" t="s">
        <v>398</v>
      </c>
      <c r="F547" s="6" t="s">
        <v>402</v>
      </c>
      <c r="G547" s="53">
        <f>'Прилож №7'!H287</f>
        <v>583</v>
      </c>
      <c r="H547" s="53">
        <f>'Прилож №7'!I287</f>
        <v>583</v>
      </c>
      <c r="I547" s="53">
        <f>'Прилож №7'!J287</f>
        <v>476</v>
      </c>
      <c r="J547" s="53">
        <f>'Прилож №7'!K287</f>
        <v>476</v>
      </c>
      <c r="K547" s="83"/>
    </row>
    <row r="548" spans="1:11" s="49" customFormat="1" ht="15">
      <c r="A548" s="11" t="s">
        <v>305</v>
      </c>
      <c r="B548" s="3" t="s">
        <v>265</v>
      </c>
      <c r="C548" s="3" t="s">
        <v>260</v>
      </c>
      <c r="D548" s="3"/>
      <c r="E548" s="3"/>
      <c r="F548" s="5"/>
      <c r="G548" s="48">
        <f>G549+G556</f>
        <v>97465.9</v>
      </c>
      <c r="H548" s="48">
        <f>H549+H556</f>
        <v>95845.9</v>
      </c>
      <c r="I548" s="48">
        <f>I549+I556</f>
        <v>95219.9</v>
      </c>
      <c r="J548" s="48">
        <f>J549+J556</f>
        <v>93919.9</v>
      </c>
      <c r="K548" s="63">
        <f>I548/G548*100</f>
        <v>97.69560430878902</v>
      </c>
    </row>
    <row r="549" spans="1:11" s="49" customFormat="1" ht="15">
      <c r="A549" s="8" t="s">
        <v>306</v>
      </c>
      <c r="B549" s="4" t="s">
        <v>265</v>
      </c>
      <c r="C549" s="4" t="s">
        <v>260</v>
      </c>
      <c r="D549" s="4" t="s">
        <v>307</v>
      </c>
      <c r="E549" s="4"/>
      <c r="F549" s="6"/>
      <c r="G549" s="53">
        <f>G550+G552+G554</f>
        <v>86442.9</v>
      </c>
      <c r="H549" s="53">
        <f>H550+H552+H554</f>
        <v>84822.9</v>
      </c>
      <c r="I549" s="53">
        <f>I550+I552+I554</f>
        <v>86122.9</v>
      </c>
      <c r="J549" s="53">
        <f>J550+J552+J554</f>
        <v>84822.9</v>
      </c>
      <c r="K549" s="63"/>
    </row>
    <row r="550" spans="1:11" s="49" customFormat="1" ht="43.5">
      <c r="A550" s="2" t="s">
        <v>620</v>
      </c>
      <c r="B550" s="4" t="s">
        <v>265</v>
      </c>
      <c r="C550" s="4" t="s">
        <v>260</v>
      </c>
      <c r="D550" s="4" t="s">
        <v>545</v>
      </c>
      <c r="E550" s="4"/>
      <c r="F550" s="6" t="s">
        <v>394</v>
      </c>
      <c r="G550" s="53">
        <f>G551</f>
        <v>82522.9</v>
      </c>
      <c r="H550" s="53">
        <f>H551</f>
        <v>82522.9</v>
      </c>
      <c r="I550" s="53">
        <f>I551</f>
        <v>82522.9</v>
      </c>
      <c r="J550" s="53">
        <f>J551</f>
        <v>82522.9</v>
      </c>
      <c r="K550" s="63"/>
    </row>
    <row r="551" spans="1:11" s="49" customFormat="1" ht="43.5">
      <c r="A551" s="2" t="s">
        <v>429</v>
      </c>
      <c r="B551" s="4" t="s">
        <v>265</v>
      </c>
      <c r="C551" s="4" t="s">
        <v>260</v>
      </c>
      <c r="D551" s="4" t="s">
        <v>543</v>
      </c>
      <c r="E551" s="4" t="s">
        <v>402</v>
      </c>
      <c r="F551" s="6"/>
      <c r="G551" s="53">
        <f>'Прилож №7'!H291</f>
        <v>82522.9</v>
      </c>
      <c r="H551" s="53">
        <f>'Прилож №7'!I291</f>
        <v>82522.9</v>
      </c>
      <c r="I551" s="53">
        <f>'Прилож №7'!J291</f>
        <v>82522.9</v>
      </c>
      <c r="J551" s="53">
        <f>'Прилож №7'!K291</f>
        <v>82522.9</v>
      </c>
      <c r="K551" s="63"/>
    </row>
    <row r="552" spans="1:11" s="49" customFormat="1" ht="43.5">
      <c r="A552" s="2" t="s">
        <v>0</v>
      </c>
      <c r="B552" s="4" t="s">
        <v>265</v>
      </c>
      <c r="C552" s="4" t="s">
        <v>260</v>
      </c>
      <c r="D552" s="4" t="s">
        <v>544</v>
      </c>
      <c r="E552" s="4"/>
      <c r="F552" s="6"/>
      <c r="G552" s="53">
        <f>G553</f>
        <v>2300</v>
      </c>
      <c r="H552" s="53">
        <f>H553</f>
        <v>2300</v>
      </c>
      <c r="I552" s="53">
        <f>I553</f>
        <v>2300</v>
      </c>
      <c r="J552" s="53">
        <f>J553</f>
        <v>2300</v>
      </c>
      <c r="K552" s="63"/>
    </row>
    <row r="553" spans="1:11" s="49" customFormat="1" ht="43.5">
      <c r="A553" s="2" t="s">
        <v>429</v>
      </c>
      <c r="B553" s="4" t="s">
        <v>265</v>
      </c>
      <c r="C553" s="4" t="s">
        <v>260</v>
      </c>
      <c r="D553" s="4" t="s">
        <v>544</v>
      </c>
      <c r="E553" s="4" t="s">
        <v>402</v>
      </c>
      <c r="F553" s="6" t="s">
        <v>402</v>
      </c>
      <c r="G553" s="53">
        <f>'Прилож №7'!H294</f>
        <v>2300</v>
      </c>
      <c r="H553" s="53">
        <f>'Прилож №7'!I294</f>
        <v>2300</v>
      </c>
      <c r="I553" s="53">
        <f>'Прилож №7'!J294</f>
        <v>2300</v>
      </c>
      <c r="J553" s="53">
        <f>'Прилож №7'!K294</f>
        <v>2300</v>
      </c>
      <c r="K553" s="63"/>
    </row>
    <row r="554" spans="1:11" s="49" customFormat="1" ht="15">
      <c r="A554" s="8" t="s">
        <v>157</v>
      </c>
      <c r="B554" s="4" t="s">
        <v>265</v>
      </c>
      <c r="C554" s="4" t="s">
        <v>260</v>
      </c>
      <c r="D554" s="4" t="s">
        <v>447</v>
      </c>
      <c r="E554" s="4"/>
      <c r="F554" s="6"/>
      <c r="G554" s="53">
        <f>G555</f>
        <v>1620</v>
      </c>
      <c r="H554" s="53">
        <f>H555</f>
        <v>0</v>
      </c>
      <c r="I554" s="53">
        <f>I555</f>
        <v>1300</v>
      </c>
      <c r="J554" s="53">
        <f>J555</f>
        <v>0</v>
      </c>
      <c r="K554" s="63"/>
    </row>
    <row r="555" spans="1:11" s="49" customFormat="1" ht="15">
      <c r="A555" s="7" t="s">
        <v>399</v>
      </c>
      <c r="B555" s="4" t="s">
        <v>265</v>
      </c>
      <c r="C555" s="4" t="s">
        <v>260</v>
      </c>
      <c r="D555" s="4" t="s">
        <v>447</v>
      </c>
      <c r="E555" s="4" t="s">
        <v>398</v>
      </c>
      <c r="F555" s="6" t="s">
        <v>402</v>
      </c>
      <c r="G555" s="53">
        <f>'Прилож №7'!H296</f>
        <v>1620</v>
      </c>
      <c r="H555" s="53">
        <f>'Прилож №7'!I296</f>
        <v>0</v>
      </c>
      <c r="I555" s="53">
        <f>'Прилож №7'!J296</f>
        <v>1300</v>
      </c>
      <c r="J555" s="53">
        <f>'Прилож №7'!K296</f>
        <v>0</v>
      </c>
      <c r="K555" s="63"/>
    </row>
    <row r="556" spans="1:11" s="49" customFormat="1" ht="15">
      <c r="A556" s="8" t="s">
        <v>530</v>
      </c>
      <c r="B556" s="4" t="s">
        <v>265</v>
      </c>
      <c r="C556" s="4" t="s">
        <v>260</v>
      </c>
      <c r="D556" s="4" t="s">
        <v>528</v>
      </c>
      <c r="E556" s="4"/>
      <c r="F556" s="6"/>
      <c r="G556" s="53">
        <f aca="true" t="shared" si="29" ref="G556:J559">G557</f>
        <v>11023</v>
      </c>
      <c r="H556" s="53">
        <f t="shared" si="29"/>
        <v>11023</v>
      </c>
      <c r="I556" s="53">
        <f t="shared" si="29"/>
        <v>9097</v>
      </c>
      <c r="J556" s="53">
        <f t="shared" si="29"/>
        <v>9097</v>
      </c>
      <c r="K556" s="63"/>
    </row>
    <row r="557" spans="1:11" s="49" customFormat="1" ht="57.75">
      <c r="A557" s="2" t="s">
        <v>637</v>
      </c>
      <c r="B557" s="4" t="s">
        <v>265</v>
      </c>
      <c r="C557" s="4" t="s">
        <v>260</v>
      </c>
      <c r="D557" s="4" t="s">
        <v>636</v>
      </c>
      <c r="E557" s="4"/>
      <c r="F557" s="6"/>
      <c r="G557" s="53">
        <f t="shared" si="29"/>
        <v>11023</v>
      </c>
      <c r="H557" s="53">
        <f t="shared" si="29"/>
        <v>11023</v>
      </c>
      <c r="I557" s="53">
        <f t="shared" si="29"/>
        <v>9097</v>
      </c>
      <c r="J557" s="53">
        <f t="shared" si="29"/>
        <v>9097</v>
      </c>
      <c r="K557" s="63"/>
    </row>
    <row r="558" spans="1:11" s="49" customFormat="1" ht="57.75">
      <c r="A558" s="2" t="s">
        <v>542</v>
      </c>
      <c r="B558" s="4" t="s">
        <v>265</v>
      </c>
      <c r="C558" s="4" t="s">
        <v>259</v>
      </c>
      <c r="D558" s="4" t="s">
        <v>68</v>
      </c>
      <c r="E558" s="4"/>
      <c r="F558" s="6"/>
      <c r="G558" s="53">
        <f t="shared" si="29"/>
        <v>11023</v>
      </c>
      <c r="H558" s="53">
        <f t="shared" si="29"/>
        <v>11023</v>
      </c>
      <c r="I558" s="53">
        <f t="shared" si="29"/>
        <v>9097</v>
      </c>
      <c r="J558" s="53">
        <f t="shared" si="29"/>
        <v>9097</v>
      </c>
      <c r="K558" s="63"/>
    </row>
    <row r="559" spans="1:11" s="49" customFormat="1" ht="29.25">
      <c r="A559" s="2" t="str">
        <f>'Прилож №7'!A300</f>
        <v>Обеспечение полноценным питанием беременных женщин, кормящих матерей, а также детей в возрасте до трех лет</v>
      </c>
      <c r="B559" s="4" t="s">
        <v>265</v>
      </c>
      <c r="C559" s="4" t="s">
        <v>260</v>
      </c>
      <c r="D559" s="4" t="s">
        <v>66</v>
      </c>
      <c r="E559" s="4"/>
      <c r="F559" s="6"/>
      <c r="G559" s="53">
        <f t="shared" si="29"/>
        <v>11023</v>
      </c>
      <c r="H559" s="53">
        <f t="shared" si="29"/>
        <v>11023</v>
      </c>
      <c r="I559" s="53">
        <f t="shared" si="29"/>
        <v>9097</v>
      </c>
      <c r="J559" s="53">
        <f t="shared" si="29"/>
        <v>9097</v>
      </c>
      <c r="K559" s="63"/>
    </row>
    <row r="560" spans="1:11" s="49" customFormat="1" ht="15">
      <c r="A560" s="7" t="s">
        <v>399</v>
      </c>
      <c r="B560" s="4" t="s">
        <v>265</v>
      </c>
      <c r="C560" s="4" t="s">
        <v>260</v>
      </c>
      <c r="D560" s="4" t="s">
        <v>66</v>
      </c>
      <c r="E560" s="4" t="s">
        <v>398</v>
      </c>
      <c r="F560" s="6" t="s">
        <v>402</v>
      </c>
      <c r="G560" s="53">
        <f>'Прилож №7'!H301</f>
        <v>11023</v>
      </c>
      <c r="H560" s="53">
        <f>'Прилож №7'!I301</f>
        <v>11023</v>
      </c>
      <c r="I560" s="53">
        <f>'Прилож №7'!J301</f>
        <v>9097</v>
      </c>
      <c r="J560" s="53">
        <f>'Прилож №7'!K301</f>
        <v>9097</v>
      </c>
      <c r="K560" s="63"/>
    </row>
    <row r="561" spans="1:11" s="49" customFormat="1" ht="15">
      <c r="A561" s="11" t="s">
        <v>308</v>
      </c>
      <c r="B561" s="3" t="s">
        <v>265</v>
      </c>
      <c r="C561" s="3" t="s">
        <v>264</v>
      </c>
      <c r="D561" s="3"/>
      <c r="E561" s="3"/>
      <c r="F561" s="3"/>
      <c r="G561" s="48">
        <f>G563</f>
        <v>127.80000000000001</v>
      </c>
      <c r="H561" s="48">
        <f>H563</f>
        <v>127.80000000000001</v>
      </c>
      <c r="I561" s="48">
        <f>I563</f>
        <v>127.8</v>
      </c>
      <c r="J561" s="48">
        <f>J563</f>
        <v>127.8</v>
      </c>
      <c r="K561" s="63">
        <f>I561/G561*100</f>
        <v>99.99999999999999</v>
      </c>
    </row>
    <row r="562" spans="1:11" s="49" customFormat="1" ht="15">
      <c r="A562" s="8" t="s">
        <v>322</v>
      </c>
      <c r="B562" s="4" t="s">
        <v>265</v>
      </c>
      <c r="C562" s="4" t="s">
        <v>264</v>
      </c>
      <c r="D562" s="4" t="s">
        <v>169</v>
      </c>
      <c r="E562" s="3"/>
      <c r="F562" s="3"/>
      <c r="G562" s="53">
        <f>G563</f>
        <v>127.80000000000001</v>
      </c>
      <c r="H562" s="53">
        <f aca="true" t="shared" si="30" ref="H562:J563">H563</f>
        <v>127.80000000000001</v>
      </c>
      <c r="I562" s="53">
        <f t="shared" si="30"/>
        <v>127.8</v>
      </c>
      <c r="J562" s="53">
        <f t="shared" si="30"/>
        <v>127.8</v>
      </c>
      <c r="K562" s="63"/>
    </row>
    <row r="563" spans="1:11" s="49" customFormat="1" ht="43.5">
      <c r="A563" s="2" t="s">
        <v>621</v>
      </c>
      <c r="B563" s="4" t="s">
        <v>265</v>
      </c>
      <c r="C563" s="4" t="s">
        <v>264</v>
      </c>
      <c r="D563" s="4" t="s">
        <v>538</v>
      </c>
      <c r="E563" s="3"/>
      <c r="F563" s="3"/>
      <c r="G563" s="53">
        <f>G564</f>
        <v>127.80000000000001</v>
      </c>
      <c r="H563" s="53">
        <f t="shared" si="30"/>
        <v>127.80000000000001</v>
      </c>
      <c r="I563" s="53">
        <f t="shared" si="30"/>
        <v>127.8</v>
      </c>
      <c r="J563" s="53">
        <f t="shared" si="30"/>
        <v>127.8</v>
      </c>
      <c r="K563" s="63"/>
    </row>
    <row r="564" spans="1:11" s="49" customFormat="1" ht="43.5">
      <c r="A564" s="2" t="s">
        <v>429</v>
      </c>
      <c r="B564" s="4" t="s">
        <v>265</v>
      </c>
      <c r="C564" s="4" t="s">
        <v>264</v>
      </c>
      <c r="D564" s="4" t="s">
        <v>538</v>
      </c>
      <c r="E564" s="4" t="s">
        <v>402</v>
      </c>
      <c r="F564" s="4"/>
      <c r="G564" s="53">
        <f>'Прилож №7'!H305</f>
        <v>127.80000000000001</v>
      </c>
      <c r="H564" s="53">
        <f>'Прилож №7'!I305</f>
        <v>127.80000000000001</v>
      </c>
      <c r="I564" s="53">
        <f>'Прилож №7'!J305</f>
        <v>127.8</v>
      </c>
      <c r="J564" s="53">
        <f>'Прилож №7'!K305</f>
        <v>127.8</v>
      </c>
      <c r="K564" s="63"/>
    </row>
    <row r="565" spans="1:11" s="49" customFormat="1" ht="15">
      <c r="A565" s="11" t="s">
        <v>309</v>
      </c>
      <c r="B565" s="3" t="s">
        <v>265</v>
      </c>
      <c r="C565" s="3" t="s">
        <v>261</v>
      </c>
      <c r="D565" s="3"/>
      <c r="E565" s="4"/>
      <c r="F565" s="6"/>
      <c r="G565" s="48">
        <f>G566</f>
        <v>6234.3</v>
      </c>
      <c r="H565" s="48">
        <f>H566</f>
        <v>4234.3</v>
      </c>
      <c r="I565" s="48">
        <f>I566</f>
        <v>6234.3</v>
      </c>
      <c r="J565" s="48">
        <f>J566</f>
        <v>4234.3</v>
      </c>
      <c r="K565" s="63">
        <f>I565/G565*100</f>
        <v>100</v>
      </c>
    </row>
    <row r="566" spans="1:11" s="49" customFormat="1" ht="15">
      <c r="A566" s="8" t="s">
        <v>312</v>
      </c>
      <c r="B566" s="4" t="s">
        <v>265</v>
      </c>
      <c r="C566" s="4" t="s">
        <v>261</v>
      </c>
      <c r="D566" s="4" t="s">
        <v>313</v>
      </c>
      <c r="E566" s="4"/>
      <c r="F566" s="6"/>
      <c r="G566" s="53">
        <f>G568+G570+G567</f>
        <v>6234.3</v>
      </c>
      <c r="H566" s="53">
        <f>H568+H570+H567</f>
        <v>4234.3</v>
      </c>
      <c r="I566" s="53">
        <f>I568+I570+I567</f>
        <v>6234.3</v>
      </c>
      <c r="J566" s="53">
        <f>J568+J570+J567</f>
        <v>4234.3</v>
      </c>
      <c r="K566" s="63"/>
    </row>
    <row r="567" spans="1:11" s="49" customFormat="1" ht="44.25">
      <c r="A567" s="2" t="s">
        <v>91</v>
      </c>
      <c r="B567" s="4" t="s">
        <v>265</v>
      </c>
      <c r="C567" s="4" t="s">
        <v>261</v>
      </c>
      <c r="D567" s="4" t="s">
        <v>611</v>
      </c>
      <c r="E567" s="4" t="s">
        <v>227</v>
      </c>
      <c r="F567" s="6" t="s">
        <v>406</v>
      </c>
      <c r="G567" s="53">
        <f>'Прилож №7'!H308</f>
        <v>2000</v>
      </c>
      <c r="H567" s="53">
        <f>'Прилож №7'!I308</f>
        <v>0</v>
      </c>
      <c r="I567" s="53">
        <f>'Прилож №7'!J308</f>
        <v>2000</v>
      </c>
      <c r="J567" s="53">
        <f>'Прилож №7'!K308</f>
        <v>0</v>
      </c>
      <c r="K567" s="63"/>
    </row>
    <row r="568" spans="1:11" s="49" customFormat="1" ht="29.25">
      <c r="A568" s="2" t="s">
        <v>622</v>
      </c>
      <c r="B568" s="4" t="s">
        <v>265</v>
      </c>
      <c r="C568" s="4" t="s">
        <v>261</v>
      </c>
      <c r="D568" s="4" t="s">
        <v>546</v>
      </c>
      <c r="E568" s="4"/>
      <c r="F568" s="6"/>
      <c r="G568" s="53">
        <f>G569</f>
        <v>4206.2</v>
      </c>
      <c r="H568" s="53">
        <f>H569</f>
        <v>4206.2</v>
      </c>
      <c r="I568" s="53">
        <f>I569</f>
        <v>4206.2</v>
      </c>
      <c r="J568" s="53">
        <f>J569</f>
        <v>4206.2</v>
      </c>
      <c r="K568" s="63"/>
    </row>
    <row r="569" spans="1:11" s="49" customFormat="1" ht="43.5">
      <c r="A569" s="2" t="s">
        <v>429</v>
      </c>
      <c r="B569" s="4" t="s">
        <v>265</v>
      </c>
      <c r="C569" s="4" t="s">
        <v>261</v>
      </c>
      <c r="D569" s="4" t="s">
        <v>546</v>
      </c>
      <c r="E569" s="4" t="s">
        <v>402</v>
      </c>
      <c r="F569" s="6" t="s">
        <v>394</v>
      </c>
      <c r="G569" s="53">
        <f>'Прилож №7'!H310</f>
        <v>4206.2</v>
      </c>
      <c r="H569" s="53">
        <f>'Прилож №7'!I310</f>
        <v>4206.2</v>
      </c>
      <c r="I569" s="53">
        <f>'Прилож №7'!J310</f>
        <v>4206.2</v>
      </c>
      <c r="J569" s="53">
        <f>'Прилож №7'!K310</f>
        <v>4206.2</v>
      </c>
      <c r="K569" s="63"/>
    </row>
    <row r="570" spans="1:11" s="49" customFormat="1" ht="43.5">
      <c r="A570" s="2" t="s">
        <v>2</v>
      </c>
      <c r="B570" s="4" t="s">
        <v>265</v>
      </c>
      <c r="C570" s="4" t="s">
        <v>261</v>
      </c>
      <c r="D570" s="4" t="s">
        <v>547</v>
      </c>
      <c r="E570" s="4"/>
      <c r="F570" s="6"/>
      <c r="G570" s="53">
        <f>G571</f>
        <v>28.1</v>
      </c>
      <c r="H570" s="53">
        <f>H571</f>
        <v>28.1</v>
      </c>
      <c r="I570" s="53">
        <f>I571</f>
        <v>28.1</v>
      </c>
      <c r="J570" s="53">
        <f>J571</f>
        <v>28.1</v>
      </c>
      <c r="K570" s="63"/>
    </row>
    <row r="571" spans="1:11" s="49" customFormat="1" ht="43.5">
      <c r="A571" s="2" t="s">
        <v>429</v>
      </c>
      <c r="B571" s="4" t="s">
        <v>265</v>
      </c>
      <c r="C571" s="4" t="s">
        <v>261</v>
      </c>
      <c r="D571" s="4" t="s">
        <v>547</v>
      </c>
      <c r="E571" s="4" t="s">
        <v>402</v>
      </c>
      <c r="F571" s="6" t="s">
        <v>402</v>
      </c>
      <c r="G571" s="53">
        <f>'Прилож №7'!H312</f>
        <v>28.1</v>
      </c>
      <c r="H571" s="53">
        <f>'Прилож №7'!I312</f>
        <v>28.1</v>
      </c>
      <c r="I571" s="53">
        <f>'Прилож №7'!J312</f>
        <v>28.1</v>
      </c>
      <c r="J571" s="53">
        <f>'Прилож №7'!K312</f>
        <v>28.1</v>
      </c>
      <c r="K571" s="63"/>
    </row>
    <row r="572" spans="1:11" s="49" customFormat="1" ht="15">
      <c r="A572" s="47" t="s">
        <v>475</v>
      </c>
      <c r="B572" s="3" t="s">
        <v>265</v>
      </c>
      <c r="C572" s="3" t="s">
        <v>265</v>
      </c>
      <c r="D572" s="3"/>
      <c r="E572" s="3"/>
      <c r="F572" s="5"/>
      <c r="G572" s="48">
        <f>G573+G577</f>
        <v>126670.1</v>
      </c>
      <c r="H572" s="48">
        <f>H573+H577</f>
        <v>126670.1</v>
      </c>
      <c r="I572" s="48">
        <f>I573+I577</f>
        <v>124701.8</v>
      </c>
      <c r="J572" s="48">
        <f>J573+J577</f>
        <v>124701.8</v>
      </c>
      <c r="K572" s="63">
        <f>I572/G572*100</f>
        <v>98.44612106566585</v>
      </c>
    </row>
    <row r="573" spans="1:11" s="49" customFormat="1" ht="15">
      <c r="A573" s="8" t="s">
        <v>530</v>
      </c>
      <c r="B573" s="4" t="s">
        <v>265</v>
      </c>
      <c r="C573" s="4" t="s">
        <v>265</v>
      </c>
      <c r="D573" s="4" t="s">
        <v>528</v>
      </c>
      <c r="E573" s="4"/>
      <c r="F573" s="6"/>
      <c r="G573" s="53">
        <f aca="true" t="shared" si="31" ref="G573:J575">G574</f>
        <v>6670.1</v>
      </c>
      <c r="H573" s="53">
        <f t="shared" si="31"/>
        <v>6670.1</v>
      </c>
      <c r="I573" s="53">
        <f t="shared" si="31"/>
        <v>6641.1</v>
      </c>
      <c r="J573" s="53">
        <f t="shared" si="31"/>
        <v>6641.1</v>
      </c>
      <c r="K573" s="63"/>
    </row>
    <row r="574" spans="1:11" s="49" customFormat="1" ht="43.5">
      <c r="A574" s="2" t="s">
        <v>473</v>
      </c>
      <c r="B574" s="4" t="s">
        <v>265</v>
      </c>
      <c r="C574" s="4" t="s">
        <v>265</v>
      </c>
      <c r="D574" s="4" t="s">
        <v>471</v>
      </c>
      <c r="E574" s="4"/>
      <c r="F574" s="6"/>
      <c r="G574" s="53">
        <f t="shared" si="31"/>
        <v>6670.1</v>
      </c>
      <c r="H574" s="53">
        <f t="shared" si="31"/>
        <v>6670.1</v>
      </c>
      <c r="I574" s="53">
        <f t="shared" si="31"/>
        <v>6641.1</v>
      </c>
      <c r="J574" s="53">
        <f t="shared" si="31"/>
        <v>6641.1</v>
      </c>
      <c r="K574" s="63"/>
    </row>
    <row r="575" spans="1:11" s="49" customFormat="1" ht="29.25">
      <c r="A575" s="7" t="s">
        <v>474</v>
      </c>
      <c r="B575" s="4" t="s">
        <v>265</v>
      </c>
      <c r="C575" s="4" t="s">
        <v>265</v>
      </c>
      <c r="D575" s="4" t="s">
        <v>472</v>
      </c>
      <c r="E575" s="4"/>
      <c r="F575" s="6"/>
      <c r="G575" s="53">
        <f t="shared" si="31"/>
        <v>6670.1</v>
      </c>
      <c r="H575" s="53">
        <f t="shared" si="31"/>
        <v>6670.1</v>
      </c>
      <c r="I575" s="53">
        <f t="shared" si="31"/>
        <v>6641.1</v>
      </c>
      <c r="J575" s="53">
        <f t="shared" si="31"/>
        <v>6641.1</v>
      </c>
      <c r="K575" s="63"/>
    </row>
    <row r="576" spans="1:11" s="49" customFormat="1" ht="15">
      <c r="A576" s="7" t="s">
        <v>399</v>
      </c>
      <c r="B576" s="4" t="s">
        <v>265</v>
      </c>
      <c r="C576" s="4" t="s">
        <v>265</v>
      </c>
      <c r="D576" s="4" t="s">
        <v>472</v>
      </c>
      <c r="E576" s="4" t="s">
        <v>398</v>
      </c>
      <c r="F576" s="6"/>
      <c r="G576" s="53">
        <f>'Прилож №7'!H317</f>
        <v>6670.1</v>
      </c>
      <c r="H576" s="53">
        <f>'Прилож №7'!I317</f>
        <v>6670.1</v>
      </c>
      <c r="I576" s="53">
        <f>'Прилож №7'!J317</f>
        <v>6641.1</v>
      </c>
      <c r="J576" s="53">
        <f>'Прилож №7'!K317</f>
        <v>6641.1</v>
      </c>
      <c r="K576" s="63"/>
    </row>
    <row r="577" spans="1:11" s="49" customFormat="1" ht="43.5">
      <c r="A577" s="7" t="s">
        <v>335</v>
      </c>
      <c r="B577" s="4" t="s">
        <v>265</v>
      </c>
      <c r="C577" s="4" t="s">
        <v>265</v>
      </c>
      <c r="D577" s="4" t="s">
        <v>334</v>
      </c>
      <c r="E577" s="4"/>
      <c r="F577" s="6"/>
      <c r="G577" s="53">
        <f aca="true" t="shared" si="32" ref="G577:J579">G578</f>
        <v>120000</v>
      </c>
      <c r="H577" s="53">
        <f t="shared" si="32"/>
        <v>120000</v>
      </c>
      <c r="I577" s="53">
        <f t="shared" si="32"/>
        <v>118060.7</v>
      </c>
      <c r="J577" s="53">
        <f t="shared" si="32"/>
        <v>118060.7</v>
      </c>
      <c r="K577" s="63"/>
    </row>
    <row r="578" spans="1:11" s="49" customFormat="1" ht="29.25">
      <c r="A578" s="7" t="s">
        <v>337</v>
      </c>
      <c r="B578" s="4" t="s">
        <v>265</v>
      </c>
      <c r="C578" s="4" t="s">
        <v>265</v>
      </c>
      <c r="D578" s="4" t="s">
        <v>336</v>
      </c>
      <c r="E578" s="4"/>
      <c r="F578" s="6"/>
      <c r="G578" s="53">
        <f t="shared" si="32"/>
        <v>120000</v>
      </c>
      <c r="H578" s="53">
        <f t="shared" si="32"/>
        <v>120000</v>
      </c>
      <c r="I578" s="53">
        <f t="shared" si="32"/>
        <v>118060.7</v>
      </c>
      <c r="J578" s="53">
        <f t="shared" si="32"/>
        <v>118060.7</v>
      </c>
      <c r="K578" s="63"/>
    </row>
    <row r="579" spans="1:11" s="49" customFormat="1" ht="29.25">
      <c r="A579" s="7" t="s">
        <v>339</v>
      </c>
      <c r="B579" s="4" t="s">
        <v>265</v>
      </c>
      <c r="C579" s="4" t="s">
        <v>265</v>
      </c>
      <c r="D579" s="4" t="s">
        <v>338</v>
      </c>
      <c r="E579" s="4"/>
      <c r="F579" s="6"/>
      <c r="G579" s="53">
        <f t="shared" si="32"/>
        <v>120000</v>
      </c>
      <c r="H579" s="53">
        <f t="shared" si="32"/>
        <v>120000</v>
      </c>
      <c r="I579" s="53">
        <f t="shared" si="32"/>
        <v>118060.7</v>
      </c>
      <c r="J579" s="53">
        <f t="shared" si="32"/>
        <v>118060.7</v>
      </c>
      <c r="K579" s="63"/>
    </row>
    <row r="580" spans="1:11" s="49" customFormat="1" ht="15">
      <c r="A580" s="7" t="s">
        <v>399</v>
      </c>
      <c r="B580" s="4" t="s">
        <v>265</v>
      </c>
      <c r="C580" s="4" t="s">
        <v>265</v>
      </c>
      <c r="D580" s="4" t="s">
        <v>338</v>
      </c>
      <c r="E580" s="4" t="s">
        <v>398</v>
      </c>
      <c r="F580" s="6" t="s">
        <v>398</v>
      </c>
      <c r="G580" s="53">
        <f>'Прилож №7'!H321</f>
        <v>120000</v>
      </c>
      <c r="H580" s="53">
        <f>'Прилож №7'!I321</f>
        <v>120000</v>
      </c>
      <c r="I580" s="53">
        <f>'Прилож №7'!J321</f>
        <v>118060.7</v>
      </c>
      <c r="J580" s="53">
        <f>'Прилож №7'!K321</f>
        <v>118060.7</v>
      </c>
      <c r="K580" s="63"/>
    </row>
    <row r="581" spans="1:11" ht="15">
      <c r="A581" s="11" t="s">
        <v>144</v>
      </c>
      <c r="B581" s="3" t="s">
        <v>266</v>
      </c>
      <c r="C581" s="3"/>
      <c r="D581" s="3"/>
      <c r="E581" s="3"/>
      <c r="F581" s="5" t="s">
        <v>294</v>
      </c>
      <c r="G581" s="48">
        <f>G582+G586+G614+G623</f>
        <v>110918.4</v>
      </c>
      <c r="H581" s="48">
        <f>H582+H586+H614+H623</f>
        <v>75536.3</v>
      </c>
      <c r="I581" s="48">
        <f>I582+I586+I614+I623</f>
        <v>70527.90000000001</v>
      </c>
      <c r="J581" s="48">
        <f>J582+J586+J614+J623</f>
        <v>53531.5</v>
      </c>
      <c r="K581" s="63">
        <f>I581/G581*100</f>
        <v>63.585392504760264</v>
      </c>
    </row>
    <row r="582" spans="1:11" ht="15">
      <c r="A582" s="11" t="s">
        <v>172</v>
      </c>
      <c r="B582" s="3" t="s">
        <v>266</v>
      </c>
      <c r="C582" s="3" t="s">
        <v>259</v>
      </c>
      <c r="D582" s="3"/>
      <c r="E582" s="3"/>
      <c r="F582" s="3"/>
      <c r="G582" s="48">
        <f>G583</f>
        <v>1634.5</v>
      </c>
      <c r="H582" s="48">
        <f aca="true" t="shared" si="33" ref="H582:J584">H583</f>
        <v>0</v>
      </c>
      <c r="I582" s="48">
        <f t="shared" si="33"/>
        <v>1335.3</v>
      </c>
      <c r="J582" s="48">
        <f t="shared" si="33"/>
        <v>0</v>
      </c>
      <c r="K582" s="63">
        <f>I582/G582*100</f>
        <v>81.6947078617314</v>
      </c>
    </row>
    <row r="583" spans="1:11" ht="14.25">
      <c r="A583" s="8" t="s">
        <v>285</v>
      </c>
      <c r="B583" s="4" t="s">
        <v>266</v>
      </c>
      <c r="C583" s="4" t="s">
        <v>259</v>
      </c>
      <c r="D583" s="4" t="s">
        <v>286</v>
      </c>
      <c r="E583" s="4"/>
      <c r="F583" s="4"/>
      <c r="G583" s="53">
        <f>G584</f>
        <v>1634.5</v>
      </c>
      <c r="H583" s="53">
        <f t="shared" si="33"/>
        <v>0</v>
      </c>
      <c r="I583" s="53">
        <f t="shared" si="33"/>
        <v>1335.3</v>
      </c>
      <c r="J583" s="53">
        <f t="shared" si="33"/>
        <v>0</v>
      </c>
      <c r="K583" s="83"/>
    </row>
    <row r="584" spans="1:11" ht="28.5">
      <c r="A584" s="2" t="s">
        <v>216</v>
      </c>
      <c r="B584" s="4" t="s">
        <v>266</v>
      </c>
      <c r="C584" s="4" t="s">
        <v>259</v>
      </c>
      <c r="D584" s="4" t="s">
        <v>287</v>
      </c>
      <c r="E584" s="4"/>
      <c r="F584" s="4"/>
      <c r="G584" s="53">
        <f>G585</f>
        <v>1634.5</v>
      </c>
      <c r="H584" s="53">
        <f t="shared" si="33"/>
        <v>0</v>
      </c>
      <c r="I584" s="53">
        <f t="shared" si="33"/>
        <v>1335.3</v>
      </c>
      <c r="J584" s="53">
        <f t="shared" si="33"/>
        <v>0</v>
      </c>
      <c r="K584" s="83"/>
    </row>
    <row r="585" spans="1:11" ht="14.25">
      <c r="A585" s="2" t="s">
        <v>426</v>
      </c>
      <c r="B585" s="4" t="s">
        <v>266</v>
      </c>
      <c r="C585" s="4" t="s">
        <v>259</v>
      </c>
      <c r="D585" s="4" t="s">
        <v>287</v>
      </c>
      <c r="E585" s="4" t="s">
        <v>425</v>
      </c>
      <c r="F585" s="4"/>
      <c r="G585" s="53">
        <f>'Прилож №7'!H326</f>
        <v>1634.5</v>
      </c>
      <c r="H585" s="53">
        <f>'Прилож №7'!I326</f>
        <v>0</v>
      </c>
      <c r="I585" s="53">
        <f>'Прилож №7'!J326</f>
        <v>1335.3</v>
      </c>
      <c r="J585" s="53">
        <f>'Прилож №7'!K326</f>
        <v>0</v>
      </c>
      <c r="K585" s="83"/>
    </row>
    <row r="586" spans="1:11" ht="15">
      <c r="A586" s="11" t="s">
        <v>201</v>
      </c>
      <c r="B586" s="3" t="s">
        <v>266</v>
      </c>
      <c r="C586" s="3" t="s">
        <v>264</v>
      </c>
      <c r="D586" s="4"/>
      <c r="E586" s="4"/>
      <c r="F586" s="4"/>
      <c r="G586" s="53">
        <f>G592+G587+G602+G606+G611</f>
        <v>73127.3</v>
      </c>
      <c r="H586" s="53">
        <f>H592+H587+H602+H606+H611</f>
        <v>47946.3</v>
      </c>
      <c r="I586" s="53">
        <f>I592+I587+I602+I606+I611</f>
        <v>39998.3</v>
      </c>
      <c r="J586" s="53">
        <f>J592+J587+J602+J606+J611</f>
        <v>32705.7</v>
      </c>
      <c r="K586" s="63"/>
    </row>
    <row r="587" spans="1:11" ht="15">
      <c r="A587" s="8" t="s">
        <v>588</v>
      </c>
      <c r="B587" s="4" t="s">
        <v>266</v>
      </c>
      <c r="C587" s="4" t="s">
        <v>264</v>
      </c>
      <c r="D587" s="4" t="s">
        <v>591</v>
      </c>
      <c r="E587" s="4"/>
      <c r="F587" s="4"/>
      <c r="G587" s="53">
        <f>G588</f>
        <v>17034.2</v>
      </c>
      <c r="H587" s="53">
        <f>H588</f>
        <v>0</v>
      </c>
      <c r="I587" s="53">
        <f>I588</f>
        <v>1131.2</v>
      </c>
      <c r="J587" s="53">
        <f>J588</f>
        <v>0</v>
      </c>
      <c r="K587" s="63"/>
    </row>
    <row r="588" spans="1:11" ht="14.25">
      <c r="A588" s="2" t="s">
        <v>589</v>
      </c>
      <c r="B588" s="4" t="s">
        <v>266</v>
      </c>
      <c r="C588" s="4" t="s">
        <v>264</v>
      </c>
      <c r="D588" s="4" t="s">
        <v>592</v>
      </c>
      <c r="E588" s="4"/>
      <c r="F588" s="4"/>
      <c r="G588" s="53">
        <f>G590+G589</f>
        <v>17034.2</v>
      </c>
      <c r="H588" s="53">
        <f>H590+H589</f>
        <v>0</v>
      </c>
      <c r="I588" s="53">
        <f>I590+I589</f>
        <v>1131.2</v>
      </c>
      <c r="J588" s="53">
        <f>J590+J589</f>
        <v>0</v>
      </c>
      <c r="K588" s="83"/>
    </row>
    <row r="589" spans="1:11" ht="28.5">
      <c r="A589" s="2" t="str">
        <f>'Прилож №7'!A781</f>
        <v>Обеспечение жильем граждан, уволенных с  военной службы (службы), и приравненных к ним лицам</v>
      </c>
      <c r="B589" s="4" t="s">
        <v>266</v>
      </c>
      <c r="C589" s="4" t="s">
        <v>264</v>
      </c>
      <c r="D589" s="4" t="s">
        <v>13</v>
      </c>
      <c r="E589" s="4"/>
      <c r="F589" s="4"/>
      <c r="G589" s="53">
        <f>'Прилож №7'!H781</f>
        <v>15903</v>
      </c>
      <c r="H589" s="53">
        <f>'Прилож №7'!I781</f>
        <v>0</v>
      </c>
      <c r="I589" s="53">
        <f>'Прилож №7'!J781</f>
        <v>0</v>
      </c>
      <c r="J589" s="53">
        <f>'Прилож №7'!K781</f>
        <v>0</v>
      </c>
      <c r="K589" s="83"/>
    </row>
    <row r="590" spans="1:11" ht="14.25">
      <c r="A590" s="8" t="s">
        <v>590</v>
      </c>
      <c r="B590" s="4" t="s">
        <v>266</v>
      </c>
      <c r="C590" s="4" t="s">
        <v>264</v>
      </c>
      <c r="D590" s="4" t="s">
        <v>593</v>
      </c>
      <c r="E590" s="4"/>
      <c r="F590" s="4"/>
      <c r="G590" s="53">
        <f>G591</f>
        <v>1131.2</v>
      </c>
      <c r="H590" s="53">
        <f>H591</f>
        <v>0</v>
      </c>
      <c r="I590" s="53">
        <f>I591</f>
        <v>1131.2</v>
      </c>
      <c r="J590" s="53">
        <f>J591</f>
        <v>0</v>
      </c>
      <c r="K590" s="83"/>
    </row>
    <row r="591" spans="1:11" ht="28.5">
      <c r="A591" s="2" t="s">
        <v>411</v>
      </c>
      <c r="B591" s="4" t="s">
        <v>266</v>
      </c>
      <c r="C591" s="4" t="s">
        <v>264</v>
      </c>
      <c r="D591" s="4" t="s">
        <v>593</v>
      </c>
      <c r="E591" s="4" t="s">
        <v>407</v>
      </c>
      <c r="F591" s="4"/>
      <c r="G591" s="53">
        <f>'Прилож №7'!H784</f>
        <v>1131.2</v>
      </c>
      <c r="H591" s="53">
        <f>'Прилож №7'!I784</f>
        <v>0</v>
      </c>
      <c r="I591" s="53">
        <f>'Прилож №7'!J784</f>
        <v>1131.2</v>
      </c>
      <c r="J591" s="53">
        <f>'Прилож №7'!K784</f>
        <v>0</v>
      </c>
      <c r="K591" s="83"/>
    </row>
    <row r="592" spans="1:11" ht="14.25">
      <c r="A592" s="2" t="s">
        <v>288</v>
      </c>
      <c r="B592" s="4" t="s">
        <v>266</v>
      </c>
      <c r="C592" s="4" t="s">
        <v>264</v>
      </c>
      <c r="D592" s="4" t="s">
        <v>196</v>
      </c>
      <c r="E592" s="4"/>
      <c r="F592" s="4"/>
      <c r="G592" s="53">
        <f>G598+G593</f>
        <v>12454.599999999999</v>
      </c>
      <c r="H592" s="53">
        <f>H598+H593</f>
        <v>9672.3</v>
      </c>
      <c r="I592" s="53">
        <f>I598+I593</f>
        <v>1043</v>
      </c>
      <c r="J592" s="53">
        <f>J598+J593</f>
        <v>0</v>
      </c>
      <c r="K592" s="83"/>
    </row>
    <row r="593" spans="1:11" ht="128.25">
      <c r="A593" s="61" t="s">
        <v>24</v>
      </c>
      <c r="B593" s="4" t="s">
        <v>266</v>
      </c>
      <c r="C593" s="4" t="s">
        <v>264</v>
      </c>
      <c r="D593" s="4" t="s">
        <v>17</v>
      </c>
      <c r="E593" s="4"/>
      <c r="F593" s="6"/>
      <c r="G593" s="53">
        <f>G594+G596</f>
        <v>11346.3</v>
      </c>
      <c r="H593" s="53">
        <f>H594+H596</f>
        <v>9672.3</v>
      </c>
      <c r="I593" s="53">
        <f>I594+I596</f>
        <v>0</v>
      </c>
      <c r="J593" s="53">
        <f>J594+J596</f>
        <v>0</v>
      </c>
      <c r="K593" s="83"/>
    </row>
    <row r="594" spans="1:11" ht="71.25">
      <c r="A594" s="61" t="s">
        <v>23</v>
      </c>
      <c r="B594" s="4" t="s">
        <v>266</v>
      </c>
      <c r="C594" s="4" t="s">
        <v>264</v>
      </c>
      <c r="D594" s="4" t="s">
        <v>18</v>
      </c>
      <c r="E594" s="4"/>
      <c r="F594" s="6"/>
      <c r="G594" s="53">
        <f>G595</f>
        <v>1674</v>
      </c>
      <c r="H594" s="53">
        <f>H595</f>
        <v>0</v>
      </c>
      <c r="I594" s="53">
        <f>I595</f>
        <v>0</v>
      </c>
      <c r="J594" s="53">
        <f>J595</f>
        <v>0</v>
      </c>
      <c r="K594" s="83"/>
    </row>
    <row r="595" spans="1:11" ht="87" customHeight="1">
      <c r="A595" s="47" t="s">
        <v>90</v>
      </c>
      <c r="B595" s="4" t="s">
        <v>266</v>
      </c>
      <c r="C595" s="4" t="s">
        <v>264</v>
      </c>
      <c r="D595" s="4" t="s">
        <v>18</v>
      </c>
      <c r="E595" s="4" t="s">
        <v>227</v>
      </c>
      <c r="F595" s="6" t="s">
        <v>406</v>
      </c>
      <c r="G595" s="53">
        <f>'Прилож №7'!H788</f>
        <v>1674</v>
      </c>
      <c r="H595" s="53">
        <f>'Прилож №7'!I788</f>
        <v>0</v>
      </c>
      <c r="I595" s="53">
        <f>'Прилож №7'!J788</f>
        <v>0</v>
      </c>
      <c r="J595" s="53">
        <f>'Прилож №7'!K788</f>
        <v>0</v>
      </c>
      <c r="K595" s="83"/>
    </row>
    <row r="596" spans="1:11" ht="57">
      <c r="A596" s="2" t="s">
        <v>54</v>
      </c>
      <c r="B596" s="4" t="s">
        <v>266</v>
      </c>
      <c r="C596" s="4" t="s">
        <v>264</v>
      </c>
      <c r="D596" s="4" t="s">
        <v>55</v>
      </c>
      <c r="E596" s="4"/>
      <c r="F596" s="6"/>
      <c r="G596" s="53">
        <f>G597</f>
        <v>9672.3</v>
      </c>
      <c r="H596" s="53">
        <f>H597</f>
        <v>9672.3</v>
      </c>
      <c r="I596" s="53">
        <f>I597</f>
        <v>0</v>
      </c>
      <c r="J596" s="53">
        <f>J597</f>
        <v>0</v>
      </c>
      <c r="K596" s="83"/>
    </row>
    <row r="597" spans="1:11" ht="72">
      <c r="A597" s="47" t="s">
        <v>87</v>
      </c>
      <c r="B597" s="4" t="s">
        <v>266</v>
      </c>
      <c r="C597" s="4" t="s">
        <v>264</v>
      </c>
      <c r="D597" s="4" t="s">
        <v>55</v>
      </c>
      <c r="E597" s="4" t="s">
        <v>227</v>
      </c>
      <c r="F597" s="6" t="s">
        <v>406</v>
      </c>
      <c r="G597" s="53">
        <f>'Прилож №7'!H790</f>
        <v>9672.3</v>
      </c>
      <c r="H597" s="53">
        <f>'Прилож №7'!I790</f>
        <v>9672.3</v>
      </c>
      <c r="I597" s="53">
        <f>'Прилож №7'!J790</f>
        <v>0</v>
      </c>
      <c r="J597" s="53">
        <f>'Прилож №7'!K790</f>
        <v>0</v>
      </c>
      <c r="K597" s="83"/>
    </row>
    <row r="598" spans="1:11" ht="14.25">
      <c r="A598" s="8" t="s">
        <v>289</v>
      </c>
      <c r="B598" s="4" t="s">
        <v>266</v>
      </c>
      <c r="C598" s="4" t="s">
        <v>264</v>
      </c>
      <c r="D598" s="4" t="s">
        <v>318</v>
      </c>
      <c r="E598" s="4"/>
      <c r="F598" s="8">
        <v>483</v>
      </c>
      <c r="G598" s="53">
        <f>G600+G599+G601</f>
        <v>1108.3</v>
      </c>
      <c r="H598" s="53">
        <f>H600+H599+H601</f>
        <v>0</v>
      </c>
      <c r="I598" s="53">
        <f>I600+I599+I601</f>
        <v>1043</v>
      </c>
      <c r="J598" s="53">
        <f>J600+J599+J601</f>
        <v>0</v>
      </c>
      <c r="K598" s="83"/>
    </row>
    <row r="599" spans="1:11" ht="28.5">
      <c r="A599" s="2" t="s">
        <v>431</v>
      </c>
      <c r="B599" s="4" t="s">
        <v>266</v>
      </c>
      <c r="C599" s="4" t="s">
        <v>264</v>
      </c>
      <c r="D599" s="4" t="s">
        <v>318</v>
      </c>
      <c r="E599" s="4" t="s">
        <v>421</v>
      </c>
      <c r="F599" s="8"/>
      <c r="G599" s="53">
        <f>'Прилож №7'!H330</f>
        <v>36.8</v>
      </c>
      <c r="H599" s="53">
        <f>'Прилож №7'!I330</f>
        <v>0</v>
      </c>
      <c r="I599" s="53">
        <f>'Прилож №7'!J330</f>
        <v>36.8</v>
      </c>
      <c r="J599" s="53">
        <f>'Прилож №7'!K330</f>
        <v>0</v>
      </c>
      <c r="K599" s="83"/>
    </row>
    <row r="600" spans="1:11" ht="28.5">
      <c r="A600" s="2" t="s">
        <v>457</v>
      </c>
      <c r="B600" s="4" t="s">
        <v>266</v>
      </c>
      <c r="C600" s="4" t="s">
        <v>264</v>
      </c>
      <c r="D600" s="4" t="s">
        <v>318</v>
      </c>
      <c r="E600" s="4" t="s">
        <v>456</v>
      </c>
      <c r="F600" s="8"/>
      <c r="G600" s="53">
        <f>'Прилож №7'!H331</f>
        <v>915</v>
      </c>
      <c r="H600" s="53">
        <f>'Прилож №7'!I331</f>
        <v>0</v>
      </c>
      <c r="I600" s="53">
        <f>'Прилож №7'!J331</f>
        <v>849.7</v>
      </c>
      <c r="J600" s="53">
        <f>'Прилож №7'!K331</f>
        <v>0</v>
      </c>
      <c r="K600" s="83"/>
    </row>
    <row r="601" spans="1:11" ht="28.5">
      <c r="A601" s="2" t="s">
        <v>411</v>
      </c>
      <c r="B601" s="4" t="s">
        <v>266</v>
      </c>
      <c r="C601" s="4" t="s">
        <v>264</v>
      </c>
      <c r="D601" s="4" t="s">
        <v>318</v>
      </c>
      <c r="E601" s="4" t="s">
        <v>407</v>
      </c>
      <c r="F601" s="8"/>
      <c r="G601" s="53">
        <f>'Прилож №7'!H332</f>
        <v>156.5</v>
      </c>
      <c r="H601" s="53">
        <f>'Прилож №7'!I332</f>
        <v>0</v>
      </c>
      <c r="I601" s="53">
        <f>'Прилож №7'!J332</f>
        <v>156.5</v>
      </c>
      <c r="J601" s="53">
        <f>'Прилож №7'!K332</f>
        <v>0</v>
      </c>
      <c r="K601" s="83"/>
    </row>
    <row r="602" spans="1:11" ht="14.25">
      <c r="A602" s="2" t="s">
        <v>530</v>
      </c>
      <c r="B602" s="4" t="s">
        <v>266</v>
      </c>
      <c r="C602" s="4" t="s">
        <v>264</v>
      </c>
      <c r="D602" s="4" t="s">
        <v>528</v>
      </c>
      <c r="E602" s="4"/>
      <c r="F602" s="8"/>
      <c r="G602" s="53">
        <f>G603</f>
        <v>1996</v>
      </c>
      <c r="H602" s="53">
        <f aca="true" t="shared" si="34" ref="H602:J604">H603</f>
        <v>0</v>
      </c>
      <c r="I602" s="53">
        <f t="shared" si="34"/>
        <v>1749.9</v>
      </c>
      <c r="J602" s="53">
        <f t="shared" si="34"/>
        <v>0</v>
      </c>
      <c r="K602" s="83"/>
    </row>
    <row r="603" spans="1:11" ht="28.5">
      <c r="A603" s="2" t="s">
        <v>556</v>
      </c>
      <c r="B603" s="4" t="s">
        <v>266</v>
      </c>
      <c r="C603" s="4" t="s">
        <v>264</v>
      </c>
      <c r="D603" s="4" t="s">
        <v>537</v>
      </c>
      <c r="E603" s="4"/>
      <c r="F603" s="8"/>
      <c r="G603" s="53">
        <f>G604</f>
        <v>1996</v>
      </c>
      <c r="H603" s="53">
        <f t="shared" si="34"/>
        <v>0</v>
      </c>
      <c r="I603" s="53">
        <f t="shared" si="34"/>
        <v>1749.9</v>
      </c>
      <c r="J603" s="53">
        <f t="shared" si="34"/>
        <v>0</v>
      </c>
      <c r="K603" s="83"/>
    </row>
    <row r="604" spans="1:11" ht="14.25">
      <c r="A604" s="8" t="s">
        <v>597</v>
      </c>
      <c r="B604" s="4" t="s">
        <v>266</v>
      </c>
      <c r="C604" s="4" t="s">
        <v>264</v>
      </c>
      <c r="D604" s="4" t="s">
        <v>598</v>
      </c>
      <c r="E604" s="4"/>
      <c r="F604" s="8"/>
      <c r="G604" s="53">
        <f>G605</f>
        <v>1996</v>
      </c>
      <c r="H604" s="53">
        <f t="shared" si="34"/>
        <v>0</v>
      </c>
      <c r="I604" s="53">
        <f t="shared" si="34"/>
        <v>1749.9</v>
      </c>
      <c r="J604" s="53">
        <f t="shared" si="34"/>
        <v>0</v>
      </c>
      <c r="K604" s="83"/>
    </row>
    <row r="605" spans="1:11" ht="28.5">
      <c r="A605" s="2" t="s">
        <v>411</v>
      </c>
      <c r="B605" s="4" t="s">
        <v>266</v>
      </c>
      <c r="C605" s="4" t="s">
        <v>264</v>
      </c>
      <c r="D605" s="4" t="s">
        <v>598</v>
      </c>
      <c r="E605" s="4" t="s">
        <v>407</v>
      </c>
      <c r="F605" s="8"/>
      <c r="G605" s="53">
        <f>'Прилож №7'!H794</f>
        <v>1996</v>
      </c>
      <c r="H605" s="53">
        <f>'Прилож №7'!I794</f>
        <v>0</v>
      </c>
      <c r="I605" s="53">
        <f>'Прилож №7'!J794</f>
        <v>1749.9</v>
      </c>
      <c r="J605" s="53">
        <f>'Прилож №7'!K794</f>
        <v>0</v>
      </c>
      <c r="K605" s="83"/>
    </row>
    <row r="606" spans="1:11" ht="42.75">
      <c r="A606" s="7" t="s">
        <v>554</v>
      </c>
      <c r="B606" s="4" t="s">
        <v>266</v>
      </c>
      <c r="C606" s="4" t="s">
        <v>264</v>
      </c>
      <c r="D606" s="4" t="s">
        <v>531</v>
      </c>
      <c r="E606" s="4"/>
      <c r="F606" s="6"/>
      <c r="G606" s="53">
        <f>G607</f>
        <v>38274</v>
      </c>
      <c r="H606" s="53">
        <f aca="true" t="shared" si="35" ref="H606:J607">H607</f>
        <v>38274</v>
      </c>
      <c r="I606" s="53">
        <f t="shared" si="35"/>
        <v>32705.7</v>
      </c>
      <c r="J606" s="53">
        <f t="shared" si="35"/>
        <v>32705.7</v>
      </c>
      <c r="K606" s="83"/>
    </row>
    <row r="607" spans="1:11" ht="28.5">
      <c r="A607" s="2" t="s">
        <v>615</v>
      </c>
      <c r="B607" s="4" t="s">
        <v>266</v>
      </c>
      <c r="C607" s="4" t="s">
        <v>264</v>
      </c>
      <c r="D607" s="4" t="s">
        <v>614</v>
      </c>
      <c r="E607" s="4"/>
      <c r="F607" s="6"/>
      <c r="G607" s="53">
        <f>G608</f>
        <v>38274</v>
      </c>
      <c r="H607" s="53">
        <f t="shared" si="35"/>
        <v>38274</v>
      </c>
      <c r="I607" s="53">
        <f t="shared" si="35"/>
        <v>32705.7</v>
      </c>
      <c r="J607" s="53">
        <f t="shared" si="35"/>
        <v>32705.7</v>
      </c>
      <c r="K607" s="83"/>
    </row>
    <row r="608" spans="1:11" ht="28.5">
      <c r="A608" s="2" t="s">
        <v>243</v>
      </c>
      <c r="B608" s="4" t="s">
        <v>266</v>
      </c>
      <c r="C608" s="4" t="s">
        <v>264</v>
      </c>
      <c r="D608" s="4" t="s">
        <v>27</v>
      </c>
      <c r="E608" s="4"/>
      <c r="F608" s="6"/>
      <c r="G608" s="53">
        <f>G609+G610</f>
        <v>38274</v>
      </c>
      <c r="H608" s="53">
        <f>H609+H610</f>
        <v>38274</v>
      </c>
      <c r="I608" s="53">
        <f>I609+I610</f>
        <v>32705.7</v>
      </c>
      <c r="J608" s="53">
        <f>J609+J610</f>
        <v>32705.7</v>
      </c>
      <c r="K608" s="83"/>
    </row>
    <row r="609" spans="1:11" ht="28.5">
      <c r="A609" s="2" t="s">
        <v>431</v>
      </c>
      <c r="B609" s="4" t="s">
        <v>266</v>
      </c>
      <c r="C609" s="4" t="s">
        <v>264</v>
      </c>
      <c r="D609" s="4" t="s">
        <v>27</v>
      </c>
      <c r="E609" s="6" t="s">
        <v>421</v>
      </c>
      <c r="F609" s="6" t="s">
        <v>421</v>
      </c>
      <c r="G609" s="53">
        <f>'Прилож №7'!H336</f>
        <v>420</v>
      </c>
      <c r="H609" s="53">
        <f>'Прилож №7'!I336</f>
        <v>420</v>
      </c>
      <c r="I609" s="53">
        <f>'Прилож №7'!J336</f>
        <v>253</v>
      </c>
      <c r="J609" s="53">
        <f>'Прилож №7'!K336</f>
        <v>253</v>
      </c>
      <c r="K609" s="83"/>
    </row>
    <row r="610" spans="1:11" ht="28.5">
      <c r="A610" s="2" t="s">
        <v>411</v>
      </c>
      <c r="B610" s="4" t="s">
        <v>266</v>
      </c>
      <c r="C610" s="4" t="s">
        <v>264</v>
      </c>
      <c r="D610" s="4" t="s">
        <v>27</v>
      </c>
      <c r="E610" s="6" t="s">
        <v>407</v>
      </c>
      <c r="F610" s="6" t="s">
        <v>407</v>
      </c>
      <c r="G610" s="53">
        <f>'Прилож №7'!H337</f>
        <v>37854</v>
      </c>
      <c r="H610" s="53">
        <f>'Прилож №7'!I337</f>
        <v>37854</v>
      </c>
      <c r="I610" s="53">
        <f>'Прилож №7'!J337</f>
        <v>32452.7</v>
      </c>
      <c r="J610" s="53">
        <f>'Прилож №7'!K337</f>
        <v>32452.7</v>
      </c>
      <c r="K610" s="83"/>
    </row>
    <row r="611" spans="1:11" ht="14.25">
      <c r="A611" s="8" t="s">
        <v>223</v>
      </c>
      <c r="B611" s="4" t="s">
        <v>266</v>
      </c>
      <c r="C611" s="4" t="s">
        <v>264</v>
      </c>
      <c r="D611" s="4" t="s">
        <v>224</v>
      </c>
      <c r="E611" s="4"/>
      <c r="F611" s="6"/>
      <c r="G611" s="53">
        <f>G612</f>
        <v>3368.5</v>
      </c>
      <c r="H611" s="53">
        <f aca="true" t="shared" si="36" ref="H611:J612">H612</f>
        <v>0</v>
      </c>
      <c r="I611" s="53">
        <f t="shared" si="36"/>
        <v>3368.5</v>
      </c>
      <c r="J611" s="53">
        <f t="shared" si="36"/>
        <v>0</v>
      </c>
      <c r="K611" s="83"/>
    </row>
    <row r="612" spans="1:11" ht="28.5">
      <c r="A612" s="2" t="s">
        <v>586</v>
      </c>
      <c r="B612" s="4" t="s">
        <v>266</v>
      </c>
      <c r="C612" s="4" t="s">
        <v>264</v>
      </c>
      <c r="D612" s="4" t="s">
        <v>504</v>
      </c>
      <c r="E612" s="4"/>
      <c r="F612" s="6"/>
      <c r="G612" s="53">
        <f>G613</f>
        <v>3368.5</v>
      </c>
      <c r="H612" s="53">
        <f t="shared" si="36"/>
        <v>0</v>
      </c>
      <c r="I612" s="53">
        <f t="shared" si="36"/>
        <v>3368.5</v>
      </c>
      <c r="J612" s="53">
        <f t="shared" si="36"/>
        <v>0</v>
      </c>
      <c r="K612" s="83"/>
    </row>
    <row r="613" spans="1:11" ht="28.5">
      <c r="A613" s="2" t="s">
        <v>210</v>
      </c>
      <c r="B613" s="4" t="s">
        <v>587</v>
      </c>
      <c r="C613" s="4" t="s">
        <v>264</v>
      </c>
      <c r="D613" s="4" t="s">
        <v>504</v>
      </c>
      <c r="E613" s="6" t="s">
        <v>458</v>
      </c>
      <c r="F613" s="6" t="s">
        <v>602</v>
      </c>
      <c r="G613" s="53">
        <f>'Прилож №7'!H797</f>
        <v>3368.5</v>
      </c>
      <c r="H613" s="53">
        <f>'Прилож №7'!I797</f>
        <v>0</v>
      </c>
      <c r="I613" s="53">
        <f>'Прилож №7'!J797</f>
        <v>3368.5</v>
      </c>
      <c r="J613" s="53">
        <f>'Прилож №7'!K797</f>
        <v>0</v>
      </c>
      <c r="K613" s="83"/>
    </row>
    <row r="614" spans="1:11" ht="15">
      <c r="A614" s="2" t="s">
        <v>288</v>
      </c>
      <c r="B614" s="4" t="s">
        <v>266</v>
      </c>
      <c r="C614" s="4" t="s">
        <v>261</v>
      </c>
      <c r="D614" s="4" t="s">
        <v>196</v>
      </c>
      <c r="E614" s="4"/>
      <c r="F614" s="6"/>
      <c r="G614" s="53">
        <f>G615+G620</f>
        <v>30066.2</v>
      </c>
      <c r="H614" s="53">
        <f>H615+H620</f>
        <v>27590</v>
      </c>
      <c r="I614" s="53">
        <f>I615+I620</f>
        <v>23302</v>
      </c>
      <c r="J614" s="53">
        <f>J615+J620</f>
        <v>20825.8</v>
      </c>
      <c r="K614" s="63">
        <f>I614/G614*100</f>
        <v>77.50231156581144</v>
      </c>
    </row>
    <row r="615" spans="1:11" ht="42.75">
      <c r="A615" s="2" t="s">
        <v>25</v>
      </c>
      <c r="B615" s="4" t="s">
        <v>266</v>
      </c>
      <c r="C615" s="4" t="s">
        <v>261</v>
      </c>
      <c r="D615" s="4" t="s">
        <v>15</v>
      </c>
      <c r="E615" s="4"/>
      <c r="F615" s="6"/>
      <c r="G615" s="53">
        <f>G616+G618</f>
        <v>9676.2</v>
      </c>
      <c r="H615" s="53">
        <f>H616+H618</f>
        <v>7200</v>
      </c>
      <c r="I615" s="53">
        <f>I616+I618</f>
        <v>8597.5</v>
      </c>
      <c r="J615" s="53">
        <f>J616+J618</f>
        <v>6121.3</v>
      </c>
      <c r="K615" s="83"/>
    </row>
    <row r="616" spans="1:11" ht="57">
      <c r="A616" s="2" t="s">
        <v>26</v>
      </c>
      <c r="B616" s="4" t="s">
        <v>266</v>
      </c>
      <c r="C616" s="4" t="s">
        <v>261</v>
      </c>
      <c r="D616" s="4" t="s">
        <v>16</v>
      </c>
      <c r="E616" s="4"/>
      <c r="F616" s="6"/>
      <c r="G616" s="53">
        <f>G617</f>
        <v>2476.2</v>
      </c>
      <c r="H616" s="53">
        <f>H617</f>
        <v>0</v>
      </c>
      <c r="I616" s="53">
        <f>I617</f>
        <v>2476.2</v>
      </c>
      <c r="J616" s="53">
        <f>J617</f>
        <v>0</v>
      </c>
      <c r="K616" s="83"/>
    </row>
    <row r="617" spans="1:11" ht="90.75" customHeight="1">
      <c r="A617" s="47" t="s">
        <v>84</v>
      </c>
      <c r="B617" s="4" t="s">
        <v>266</v>
      </c>
      <c r="C617" s="4" t="s">
        <v>261</v>
      </c>
      <c r="D617" s="4" t="s">
        <v>16</v>
      </c>
      <c r="E617" s="4" t="s">
        <v>227</v>
      </c>
      <c r="F617" s="6" t="s">
        <v>406</v>
      </c>
      <c r="G617" s="53">
        <f>'Прилож №7'!H802</f>
        <v>2476.2</v>
      </c>
      <c r="H617" s="53">
        <f>'Прилож №7'!I802</f>
        <v>0</v>
      </c>
      <c r="I617" s="53">
        <f>'Прилож №7'!J802</f>
        <v>2476.2</v>
      </c>
      <c r="J617" s="53">
        <f>'Прилож №7'!K802</f>
        <v>0</v>
      </c>
      <c r="K617" s="83"/>
    </row>
    <row r="618" spans="1:11" ht="57">
      <c r="A618" s="2" t="s">
        <v>481</v>
      </c>
      <c r="B618" s="4" t="s">
        <v>266</v>
      </c>
      <c r="C618" s="4" t="s">
        <v>261</v>
      </c>
      <c r="D618" s="4" t="s">
        <v>77</v>
      </c>
      <c r="E618" s="4"/>
      <c r="F618" s="6"/>
      <c r="G618" s="53">
        <f>G619</f>
        <v>7200</v>
      </c>
      <c r="H618" s="53">
        <f>H619</f>
        <v>7200</v>
      </c>
      <c r="I618" s="53">
        <f>I619</f>
        <v>6121.3</v>
      </c>
      <c r="J618" s="53">
        <f>J619</f>
        <v>6121.3</v>
      </c>
      <c r="K618" s="83"/>
    </row>
    <row r="619" spans="1:11" ht="72" customHeight="1">
      <c r="A619" s="47" t="s">
        <v>83</v>
      </c>
      <c r="B619" s="4" t="s">
        <v>266</v>
      </c>
      <c r="C619" s="4" t="s">
        <v>261</v>
      </c>
      <c r="D619" s="4" t="s">
        <v>77</v>
      </c>
      <c r="E619" s="4" t="s">
        <v>227</v>
      </c>
      <c r="F619" s="6"/>
      <c r="G619" s="53">
        <f>'Прилож №7'!H804</f>
        <v>7200</v>
      </c>
      <c r="H619" s="53">
        <f>'Прилож №7'!I804</f>
        <v>7200</v>
      </c>
      <c r="I619" s="53">
        <f>'Прилож №7'!J804</f>
        <v>6121.3</v>
      </c>
      <c r="J619" s="53">
        <f>'Прилож №7'!K804</f>
        <v>6121.3</v>
      </c>
      <c r="K619" s="83"/>
    </row>
    <row r="620" spans="1:11" ht="99.75">
      <c r="A620" s="2" t="s">
        <v>31</v>
      </c>
      <c r="B620" s="4" t="s">
        <v>266</v>
      </c>
      <c r="C620" s="4" t="s">
        <v>261</v>
      </c>
      <c r="D620" s="4" t="s">
        <v>30</v>
      </c>
      <c r="E620" s="4"/>
      <c r="F620" s="6"/>
      <c r="G620" s="53">
        <f>G621+G622</f>
        <v>20390</v>
      </c>
      <c r="H620" s="53">
        <f>H621+H622</f>
        <v>20390</v>
      </c>
      <c r="I620" s="53">
        <f>I621+I622</f>
        <v>14704.5</v>
      </c>
      <c r="J620" s="53">
        <f>J621+J622</f>
        <v>14704.5</v>
      </c>
      <c r="K620" s="83"/>
    </row>
    <row r="621" spans="1:11" ht="28.5">
      <c r="A621" s="2" t="s">
        <v>431</v>
      </c>
      <c r="B621" s="4" t="s">
        <v>266</v>
      </c>
      <c r="C621" s="4" t="s">
        <v>261</v>
      </c>
      <c r="D621" s="4" t="s">
        <v>30</v>
      </c>
      <c r="E621" s="4" t="s">
        <v>421</v>
      </c>
      <c r="F621" s="6" t="s">
        <v>421</v>
      </c>
      <c r="G621" s="53">
        <f>'Прилож №7'!H504</f>
        <v>400</v>
      </c>
      <c r="H621" s="53">
        <f>'Прилож №7'!I504</f>
        <v>400</v>
      </c>
      <c r="I621" s="53">
        <f>'Прилож №7'!J504</f>
        <v>72.4</v>
      </c>
      <c r="J621" s="53">
        <f>'Прилож №7'!K504</f>
        <v>72.4</v>
      </c>
      <c r="K621" s="83"/>
    </row>
    <row r="622" spans="1:11" ht="28.5">
      <c r="A622" s="2" t="s">
        <v>405</v>
      </c>
      <c r="B622" s="4" t="s">
        <v>266</v>
      </c>
      <c r="C622" s="4" t="s">
        <v>261</v>
      </c>
      <c r="D622" s="4" t="s">
        <v>30</v>
      </c>
      <c r="E622" s="4" t="s">
        <v>404</v>
      </c>
      <c r="F622" s="6" t="s">
        <v>404</v>
      </c>
      <c r="G622" s="53">
        <f>'Прилож №7'!H505</f>
        <v>19990</v>
      </c>
      <c r="H622" s="53">
        <f>'Прилож №7'!I505</f>
        <v>19990</v>
      </c>
      <c r="I622" s="53">
        <f>'Прилож №7'!J505</f>
        <v>14632.1</v>
      </c>
      <c r="J622" s="53">
        <f>'Прилож №7'!K505</f>
        <v>14632.1</v>
      </c>
      <c r="K622" s="83"/>
    </row>
    <row r="623" spans="1:11" ht="15">
      <c r="A623" s="47" t="s">
        <v>222</v>
      </c>
      <c r="B623" s="3" t="s">
        <v>266</v>
      </c>
      <c r="C623" s="3" t="s">
        <v>272</v>
      </c>
      <c r="D623" s="3"/>
      <c r="E623" s="3"/>
      <c r="F623" s="5"/>
      <c r="G623" s="48">
        <f>G624+G627</f>
        <v>6090.4</v>
      </c>
      <c r="H623" s="48">
        <f>H624+H627</f>
        <v>0</v>
      </c>
      <c r="I623" s="48">
        <f>I624+I627</f>
        <v>5892.299999999999</v>
      </c>
      <c r="J623" s="48">
        <f>J624+J627</f>
        <v>0</v>
      </c>
      <c r="K623" s="63">
        <f>I623/G623*100</f>
        <v>96.74734007618547</v>
      </c>
    </row>
    <row r="624" spans="1:11" ht="15">
      <c r="A624" s="2" t="s">
        <v>205</v>
      </c>
      <c r="B624" s="4" t="s">
        <v>266</v>
      </c>
      <c r="C624" s="4" t="s">
        <v>272</v>
      </c>
      <c r="D624" s="4" t="s">
        <v>204</v>
      </c>
      <c r="E624" s="3"/>
      <c r="F624" s="5"/>
      <c r="G624" s="53">
        <f>G625</f>
        <v>70</v>
      </c>
      <c r="H624" s="53">
        <f aca="true" t="shared" si="37" ref="H624:J625">H625</f>
        <v>0</v>
      </c>
      <c r="I624" s="53">
        <f t="shared" si="37"/>
        <v>70</v>
      </c>
      <c r="J624" s="53">
        <f t="shared" si="37"/>
        <v>0</v>
      </c>
      <c r="K624" s="83"/>
    </row>
    <row r="625" spans="1:11" ht="15">
      <c r="A625" s="2" t="s">
        <v>599</v>
      </c>
      <c r="B625" s="4" t="s">
        <v>266</v>
      </c>
      <c r="C625" s="4" t="s">
        <v>272</v>
      </c>
      <c r="D625" s="4" t="s">
        <v>204</v>
      </c>
      <c r="E625" s="3"/>
      <c r="F625" s="5"/>
      <c r="G625" s="53">
        <f>G626</f>
        <v>70</v>
      </c>
      <c r="H625" s="53">
        <f t="shared" si="37"/>
        <v>0</v>
      </c>
      <c r="I625" s="53">
        <f t="shared" si="37"/>
        <v>70</v>
      </c>
      <c r="J625" s="53">
        <f t="shared" si="37"/>
        <v>0</v>
      </c>
      <c r="K625" s="83"/>
    </row>
    <row r="626" spans="1:11" ht="29.25">
      <c r="A626" s="2" t="s">
        <v>431</v>
      </c>
      <c r="B626" s="4" t="s">
        <v>266</v>
      </c>
      <c r="C626" s="4" t="s">
        <v>272</v>
      </c>
      <c r="D626" s="4" t="s">
        <v>204</v>
      </c>
      <c r="E626" s="3"/>
      <c r="F626" s="5"/>
      <c r="G626" s="53">
        <f>'Прилож №7'!H341</f>
        <v>70</v>
      </c>
      <c r="H626" s="53">
        <f>'Прилож №7'!I341</f>
        <v>0</v>
      </c>
      <c r="I626" s="53">
        <f>'Прилож №7'!J341</f>
        <v>70</v>
      </c>
      <c r="J626" s="53">
        <f>'Прилож №7'!K341</f>
        <v>0</v>
      </c>
      <c r="K626" s="83"/>
    </row>
    <row r="627" spans="1:11" ht="14.25">
      <c r="A627" s="8" t="s">
        <v>223</v>
      </c>
      <c r="B627" s="4" t="s">
        <v>266</v>
      </c>
      <c r="C627" s="4" t="s">
        <v>272</v>
      </c>
      <c r="D627" s="4" t="s">
        <v>224</v>
      </c>
      <c r="E627" s="4"/>
      <c r="F627" s="4"/>
      <c r="G627" s="53">
        <f>G628</f>
        <v>6020.4</v>
      </c>
      <c r="H627" s="53">
        <f>H628</f>
        <v>0</v>
      </c>
      <c r="I627" s="53">
        <f>I628</f>
        <v>5822.299999999999</v>
      </c>
      <c r="J627" s="53">
        <f>J628</f>
        <v>0</v>
      </c>
      <c r="K627" s="83"/>
    </row>
    <row r="628" spans="1:11" ht="42.75">
      <c r="A628" s="7" t="s">
        <v>364</v>
      </c>
      <c r="B628" s="4" t="s">
        <v>266</v>
      </c>
      <c r="C628" s="4" t="s">
        <v>272</v>
      </c>
      <c r="D628" s="4" t="s">
        <v>291</v>
      </c>
      <c r="E628" s="4"/>
      <c r="F628" s="4"/>
      <c r="G628" s="53">
        <f>G629+G630+G631+G632+G633</f>
        <v>6020.4</v>
      </c>
      <c r="H628" s="53">
        <f>H629+H630+H631+H632+H633</f>
        <v>0</v>
      </c>
      <c r="I628" s="53">
        <f>I629+I630+I631+I632+I633</f>
        <v>5822.299999999999</v>
      </c>
      <c r="J628" s="53">
        <f>J629+J630+J631+J632+J633</f>
        <v>0</v>
      </c>
      <c r="K628" s="83"/>
    </row>
    <row r="629" spans="1:11" ht="28.5">
      <c r="A629" s="2" t="s">
        <v>431</v>
      </c>
      <c r="B629" s="4" t="s">
        <v>266</v>
      </c>
      <c r="C629" s="4" t="s">
        <v>272</v>
      </c>
      <c r="D629" s="4" t="s">
        <v>291</v>
      </c>
      <c r="E629" s="4" t="s">
        <v>421</v>
      </c>
      <c r="F629" s="4"/>
      <c r="G629" s="53">
        <f>'Прилож №7'!H344</f>
        <v>849.1</v>
      </c>
      <c r="H629" s="53">
        <f>'Прилож №7'!I344</f>
        <v>0</v>
      </c>
      <c r="I629" s="53">
        <f>'Прилож №7'!J344</f>
        <v>834.1</v>
      </c>
      <c r="J629" s="53">
        <f>'Прилож №7'!K344</f>
        <v>0</v>
      </c>
      <c r="K629" s="83"/>
    </row>
    <row r="630" spans="1:11" ht="28.5">
      <c r="A630" s="2" t="s">
        <v>459</v>
      </c>
      <c r="B630" s="4" t="s">
        <v>266</v>
      </c>
      <c r="C630" s="4" t="s">
        <v>272</v>
      </c>
      <c r="D630" s="4" t="s">
        <v>291</v>
      </c>
      <c r="E630" s="4" t="s">
        <v>458</v>
      </c>
      <c r="F630" s="4"/>
      <c r="G630" s="53">
        <f>'Прилож №7'!H508+'Прилож №7'!H346</f>
        <v>579.4</v>
      </c>
      <c r="H630" s="53">
        <f>'Прилож №7'!I508+'Прилож №7'!I346</f>
        <v>0</v>
      </c>
      <c r="I630" s="53">
        <f>'Прилож №7'!J508+'Прилож №7'!J346</f>
        <v>444.20000000000005</v>
      </c>
      <c r="J630" s="53">
        <f>'Прилож №7'!K508+'Прилож №7'!K346</f>
        <v>0</v>
      </c>
      <c r="K630" s="83"/>
    </row>
    <row r="631" spans="1:11" ht="28.5">
      <c r="A631" s="7" t="s">
        <v>457</v>
      </c>
      <c r="B631" s="4" t="s">
        <v>266</v>
      </c>
      <c r="C631" s="4" t="s">
        <v>272</v>
      </c>
      <c r="D631" s="4" t="s">
        <v>291</v>
      </c>
      <c r="E631" s="4" t="s">
        <v>456</v>
      </c>
      <c r="F631" s="4"/>
      <c r="G631" s="53">
        <f>'Прилож №7'!H347</f>
        <v>2431</v>
      </c>
      <c r="H631" s="53">
        <f>'Прилож №7'!I347</f>
        <v>0</v>
      </c>
      <c r="I631" s="53">
        <f>'Прилож №7'!J347</f>
        <v>2431</v>
      </c>
      <c r="J631" s="53">
        <f>'Прилож №7'!K347</f>
        <v>0</v>
      </c>
      <c r="K631" s="83"/>
    </row>
    <row r="632" spans="1:11" ht="14.25">
      <c r="A632" s="2" t="s">
        <v>423</v>
      </c>
      <c r="B632" s="4" t="s">
        <v>266</v>
      </c>
      <c r="C632" s="4" t="s">
        <v>272</v>
      </c>
      <c r="D632" s="4" t="s">
        <v>291</v>
      </c>
      <c r="E632" s="6" t="s">
        <v>422</v>
      </c>
      <c r="F632" s="4"/>
      <c r="G632" s="53">
        <f>'Прилож №7'!H348</f>
        <v>1830.9</v>
      </c>
      <c r="H632" s="53">
        <f>'Прилож №7'!I348</f>
        <v>0</v>
      </c>
      <c r="I632" s="53">
        <f>'Прилож №7'!J348</f>
        <v>1830.1</v>
      </c>
      <c r="J632" s="53">
        <f>'Прилож №7'!K348</f>
        <v>0</v>
      </c>
      <c r="K632" s="83"/>
    </row>
    <row r="633" spans="1:11" ht="14.25">
      <c r="A633" s="7" t="s">
        <v>428</v>
      </c>
      <c r="B633" s="4" t="s">
        <v>266</v>
      </c>
      <c r="C633" s="4" t="s">
        <v>272</v>
      </c>
      <c r="D633" s="4" t="s">
        <v>291</v>
      </c>
      <c r="E633" s="6" t="s">
        <v>427</v>
      </c>
      <c r="F633" s="4"/>
      <c r="G633" s="53">
        <f>'Прилож №7'!H509</f>
        <v>330</v>
      </c>
      <c r="H633" s="53">
        <f>'Прилож №7'!I509</f>
        <v>0</v>
      </c>
      <c r="I633" s="53">
        <f>'Прилож №7'!J509</f>
        <v>282.9</v>
      </c>
      <c r="J633" s="53">
        <f>'Прилож №7'!K509</f>
        <v>0</v>
      </c>
      <c r="K633" s="83"/>
    </row>
    <row r="634" spans="1:11" s="49" customFormat="1" ht="15">
      <c r="A634" s="11" t="s">
        <v>283</v>
      </c>
      <c r="B634" s="3" t="s">
        <v>327</v>
      </c>
      <c r="C634" s="3"/>
      <c r="D634" s="3"/>
      <c r="E634" s="3"/>
      <c r="F634" s="3"/>
      <c r="G634" s="48">
        <f>G635+G655</f>
        <v>449361.1</v>
      </c>
      <c r="H634" s="48">
        <f>H635+H655</f>
        <v>313608.5</v>
      </c>
      <c r="I634" s="48">
        <f>I635+I655</f>
        <v>448777.4</v>
      </c>
      <c r="J634" s="48">
        <f>J635+J655</f>
        <v>313608.3</v>
      </c>
      <c r="K634" s="63">
        <f>I634/G634*100</f>
        <v>99.87010446609644</v>
      </c>
    </row>
    <row r="635" spans="1:11" s="49" customFormat="1" ht="15">
      <c r="A635" s="11" t="s">
        <v>328</v>
      </c>
      <c r="B635" s="3" t="s">
        <v>327</v>
      </c>
      <c r="C635" s="3" t="s">
        <v>259</v>
      </c>
      <c r="D635" s="3"/>
      <c r="E635" s="3"/>
      <c r="F635" s="3"/>
      <c r="G635" s="48">
        <f>G636+G650+G643</f>
        <v>449271.1</v>
      </c>
      <c r="H635" s="48">
        <f>H636+H650+H643</f>
        <v>313518.5</v>
      </c>
      <c r="I635" s="48">
        <f>I636+I650+I643</f>
        <v>448687.4</v>
      </c>
      <c r="J635" s="48">
        <f>J636+J650+J643</f>
        <v>313518.3</v>
      </c>
      <c r="K635" s="63">
        <f>I635/G635*100</f>
        <v>99.870078444841</v>
      </c>
    </row>
    <row r="636" spans="1:11" ht="14.25">
      <c r="A636" s="8" t="s">
        <v>188</v>
      </c>
      <c r="B636" s="4" t="s">
        <v>327</v>
      </c>
      <c r="C636" s="4" t="s">
        <v>259</v>
      </c>
      <c r="D636" s="4" t="s">
        <v>189</v>
      </c>
      <c r="E636" s="4"/>
      <c r="F636" s="4"/>
      <c r="G636" s="53">
        <f>G639+G637</f>
        <v>32507.3</v>
      </c>
      <c r="H636" s="53">
        <f>H639+H637</f>
        <v>0</v>
      </c>
      <c r="I636" s="53">
        <f>I639+I637</f>
        <v>32506.899999999998</v>
      </c>
      <c r="J636" s="53">
        <f>J639+J637</f>
        <v>0</v>
      </c>
      <c r="K636" s="83"/>
    </row>
    <row r="637" spans="1:11" ht="14.25">
      <c r="A637" s="2" t="s">
        <v>363</v>
      </c>
      <c r="B637" s="4" t="s">
        <v>327</v>
      </c>
      <c r="C637" s="4" t="s">
        <v>259</v>
      </c>
      <c r="D637" s="4" t="s">
        <v>600</v>
      </c>
      <c r="E637" s="4"/>
      <c r="F637" s="6"/>
      <c r="G637" s="53">
        <f>G638</f>
        <v>11444</v>
      </c>
      <c r="H637" s="53">
        <f>H638</f>
        <v>0</v>
      </c>
      <c r="I637" s="53">
        <f>I638</f>
        <v>11444</v>
      </c>
      <c r="J637" s="53">
        <f>J638</f>
        <v>0</v>
      </c>
      <c r="K637" s="83"/>
    </row>
    <row r="638" spans="1:11" ht="42.75">
      <c r="A638" s="2" t="s">
        <v>601</v>
      </c>
      <c r="B638" s="4" t="s">
        <v>327</v>
      </c>
      <c r="C638" s="4" t="s">
        <v>259</v>
      </c>
      <c r="D638" s="4" t="s">
        <v>600</v>
      </c>
      <c r="E638" s="4" t="s">
        <v>402</v>
      </c>
      <c r="F638" s="6" t="s">
        <v>402</v>
      </c>
      <c r="G638" s="53">
        <f>'Прилож №7'!H628</f>
        <v>11444</v>
      </c>
      <c r="H638" s="53">
        <f>'Прилож №7'!I628</f>
        <v>0</v>
      </c>
      <c r="I638" s="53">
        <f>'Прилож №7'!J628</f>
        <v>11444</v>
      </c>
      <c r="J638" s="53">
        <f>'Прилож №7'!K628</f>
        <v>0</v>
      </c>
      <c r="K638" s="83"/>
    </row>
    <row r="639" spans="1:11" ht="14.25">
      <c r="A639" s="8" t="s">
        <v>157</v>
      </c>
      <c r="B639" s="4" t="s">
        <v>327</v>
      </c>
      <c r="C639" s="4" t="s">
        <v>259</v>
      </c>
      <c r="D639" s="4" t="s">
        <v>284</v>
      </c>
      <c r="E639" s="4"/>
      <c r="F639" s="4"/>
      <c r="G639" s="53">
        <f>G641+G642+G640</f>
        <v>21063.3</v>
      </c>
      <c r="H639" s="53">
        <f>H641+H642+H640</f>
        <v>0</v>
      </c>
      <c r="I639" s="53">
        <f>I641+I642+I640</f>
        <v>21062.899999999998</v>
      </c>
      <c r="J639" s="53">
        <f>J641+J642+J640</f>
        <v>0</v>
      </c>
      <c r="K639" s="83"/>
    </row>
    <row r="640" spans="1:11" ht="28.5">
      <c r="A640" s="2" t="s">
        <v>431</v>
      </c>
      <c r="B640" s="4" t="s">
        <v>327</v>
      </c>
      <c r="C640" s="4" t="s">
        <v>259</v>
      </c>
      <c r="D640" s="4" t="s">
        <v>284</v>
      </c>
      <c r="E640" s="4" t="s">
        <v>421</v>
      </c>
      <c r="F640" s="4"/>
      <c r="G640" s="53">
        <f>'Прилож №7'!H630</f>
        <v>10</v>
      </c>
      <c r="H640" s="53">
        <f>'Прилож №7'!I630</f>
        <v>0</v>
      </c>
      <c r="I640" s="53">
        <f>'Прилож №7'!J630</f>
        <v>10</v>
      </c>
      <c r="J640" s="53">
        <f>'Прилож №7'!K630</f>
        <v>0</v>
      </c>
      <c r="K640" s="83"/>
    </row>
    <row r="641" spans="1:11" ht="42.75">
      <c r="A641" s="2" t="s">
        <v>412</v>
      </c>
      <c r="B641" s="4" t="s">
        <v>327</v>
      </c>
      <c r="C641" s="4" t="s">
        <v>259</v>
      </c>
      <c r="D641" s="4" t="s">
        <v>284</v>
      </c>
      <c r="E641" s="4" t="s">
        <v>402</v>
      </c>
      <c r="F641" s="4"/>
      <c r="G641" s="53">
        <f>'Прилож №7'!H631</f>
        <v>20090.3</v>
      </c>
      <c r="H641" s="53">
        <f>'Прилож №7'!I631</f>
        <v>0</v>
      </c>
      <c r="I641" s="53">
        <f>'Прилож №7'!J631</f>
        <v>20090.3</v>
      </c>
      <c r="J641" s="53">
        <f>'Прилож №7'!K631</f>
        <v>0</v>
      </c>
      <c r="K641" s="83"/>
    </row>
    <row r="642" spans="1:11" ht="14.25">
      <c r="A642" s="7" t="s">
        <v>399</v>
      </c>
      <c r="B642" s="4" t="s">
        <v>327</v>
      </c>
      <c r="C642" s="4" t="s">
        <v>259</v>
      </c>
      <c r="D642" s="4" t="s">
        <v>284</v>
      </c>
      <c r="E642" s="4" t="s">
        <v>398</v>
      </c>
      <c r="F642" s="4"/>
      <c r="G642" s="53">
        <f>'Прилож №7'!H632</f>
        <v>963</v>
      </c>
      <c r="H642" s="53">
        <f>'Прилож №7'!I632</f>
        <v>0</v>
      </c>
      <c r="I642" s="53">
        <f>'Прилож №7'!J632</f>
        <v>962.6</v>
      </c>
      <c r="J642" s="53">
        <f>'Прилож №7'!K632</f>
        <v>0</v>
      </c>
      <c r="K642" s="83"/>
    </row>
    <row r="643" spans="1:11" ht="14.25">
      <c r="A643" s="8" t="s">
        <v>530</v>
      </c>
      <c r="B643" s="4" t="s">
        <v>327</v>
      </c>
      <c r="C643" s="4" t="s">
        <v>259</v>
      </c>
      <c r="D643" s="4" t="s">
        <v>528</v>
      </c>
      <c r="E643" s="4"/>
      <c r="F643" s="4"/>
      <c r="G643" s="53">
        <f>G647+G644</f>
        <v>313518.5</v>
      </c>
      <c r="H643" s="53">
        <f>H647+H644</f>
        <v>313518.5</v>
      </c>
      <c r="I643" s="53">
        <f>I647+I644</f>
        <v>313518.3</v>
      </c>
      <c r="J643" s="53">
        <f>J647+J644</f>
        <v>313518.3</v>
      </c>
      <c r="K643" s="83"/>
    </row>
    <row r="644" spans="1:11" ht="42.75">
      <c r="A644" s="7" t="s">
        <v>118</v>
      </c>
      <c r="B644" s="4" t="s">
        <v>327</v>
      </c>
      <c r="C644" s="4" t="s">
        <v>259</v>
      </c>
      <c r="D644" s="4" t="s">
        <v>115</v>
      </c>
      <c r="E644" s="4"/>
      <c r="F644" s="6"/>
      <c r="G644" s="53">
        <f>G645</f>
        <v>998.5</v>
      </c>
      <c r="H644" s="53">
        <f aca="true" t="shared" si="38" ref="H644:J645">H645</f>
        <v>998.5</v>
      </c>
      <c r="I644" s="53">
        <f t="shared" si="38"/>
        <v>998.5</v>
      </c>
      <c r="J644" s="53">
        <f t="shared" si="38"/>
        <v>998.5</v>
      </c>
      <c r="K644" s="83"/>
    </row>
    <row r="645" spans="1:11" ht="57">
      <c r="A645" s="7" t="s">
        <v>117</v>
      </c>
      <c r="B645" s="4" t="s">
        <v>327</v>
      </c>
      <c r="C645" s="4" t="s">
        <v>259</v>
      </c>
      <c r="D645" s="4" t="s">
        <v>116</v>
      </c>
      <c r="E645" s="4"/>
      <c r="F645" s="6"/>
      <c r="G645" s="53">
        <f>G646</f>
        <v>998.5</v>
      </c>
      <c r="H645" s="53">
        <f t="shared" si="38"/>
        <v>998.5</v>
      </c>
      <c r="I645" s="53">
        <f t="shared" si="38"/>
        <v>998.5</v>
      </c>
      <c r="J645" s="53">
        <f t="shared" si="38"/>
        <v>998.5</v>
      </c>
      <c r="K645" s="83"/>
    </row>
    <row r="646" spans="1:11" ht="42.75">
      <c r="A646" s="2" t="s">
        <v>429</v>
      </c>
      <c r="B646" s="4" t="s">
        <v>327</v>
      </c>
      <c r="C646" s="4" t="s">
        <v>259</v>
      </c>
      <c r="D646" s="4" t="s">
        <v>116</v>
      </c>
      <c r="E646" s="4" t="s">
        <v>402</v>
      </c>
      <c r="F646" s="6" t="s">
        <v>402</v>
      </c>
      <c r="G646" s="53">
        <f>'Прилож №7'!H636</f>
        <v>998.5</v>
      </c>
      <c r="H646" s="53">
        <f>'Прилож №7'!I636</f>
        <v>998.5</v>
      </c>
      <c r="I646" s="53">
        <f>'Прилож №7'!J636</f>
        <v>998.5</v>
      </c>
      <c r="J646" s="53">
        <f>'Прилож №7'!K636</f>
        <v>998.5</v>
      </c>
      <c r="K646" s="83"/>
    </row>
    <row r="647" spans="1:11" ht="42.75">
      <c r="A647" s="2" t="s">
        <v>564</v>
      </c>
      <c r="B647" s="4" t="s">
        <v>327</v>
      </c>
      <c r="C647" s="4" t="s">
        <v>259</v>
      </c>
      <c r="D647" s="4" t="s">
        <v>558</v>
      </c>
      <c r="E647" s="4"/>
      <c r="F647" s="4"/>
      <c r="G647" s="53">
        <f>G648</f>
        <v>312520</v>
      </c>
      <c r="H647" s="53">
        <f aca="true" t="shared" si="39" ref="H647:J648">H648</f>
        <v>312520</v>
      </c>
      <c r="I647" s="53">
        <f t="shared" si="39"/>
        <v>312519.8</v>
      </c>
      <c r="J647" s="53">
        <f t="shared" si="39"/>
        <v>312519.8</v>
      </c>
      <c r="K647" s="83"/>
    </row>
    <row r="648" spans="1:11" ht="30" customHeight="1">
      <c r="A648" s="2" t="s">
        <v>566</v>
      </c>
      <c r="B648" s="4" t="s">
        <v>327</v>
      </c>
      <c r="C648" s="4" t="s">
        <v>259</v>
      </c>
      <c r="D648" s="4" t="s">
        <v>559</v>
      </c>
      <c r="E648" s="4"/>
      <c r="F648" s="4"/>
      <c r="G648" s="53">
        <f>G649</f>
        <v>312520</v>
      </c>
      <c r="H648" s="53">
        <f t="shared" si="39"/>
        <v>312520</v>
      </c>
      <c r="I648" s="53">
        <f t="shared" si="39"/>
        <v>312519.8</v>
      </c>
      <c r="J648" s="53">
        <f t="shared" si="39"/>
        <v>312519.8</v>
      </c>
      <c r="K648" s="83"/>
    </row>
    <row r="649" spans="1:11" ht="100.5" customHeight="1">
      <c r="A649" s="47" t="s">
        <v>236</v>
      </c>
      <c r="B649" s="4" t="s">
        <v>327</v>
      </c>
      <c r="C649" s="4" t="s">
        <v>259</v>
      </c>
      <c r="D649" s="4" t="s">
        <v>559</v>
      </c>
      <c r="E649" s="4" t="s">
        <v>227</v>
      </c>
      <c r="F649" s="4"/>
      <c r="G649" s="53">
        <f>'Прилож №7'!H354</f>
        <v>312520</v>
      </c>
      <c r="H649" s="53">
        <f>'Прилож №7'!I354</f>
        <v>312520</v>
      </c>
      <c r="I649" s="53">
        <f>'Прилож №7'!J354</f>
        <v>312519.8</v>
      </c>
      <c r="J649" s="53">
        <f>'Прилож №7'!K354</f>
        <v>312519.8</v>
      </c>
      <c r="K649" s="83"/>
    </row>
    <row r="650" spans="1:11" ht="20.25" customHeight="1">
      <c r="A650" s="8" t="s">
        <v>223</v>
      </c>
      <c r="B650" s="4" t="s">
        <v>327</v>
      </c>
      <c r="C650" s="4" t="s">
        <v>259</v>
      </c>
      <c r="D650" s="4" t="s">
        <v>224</v>
      </c>
      <c r="E650" s="4"/>
      <c r="F650" s="4"/>
      <c r="G650" s="53">
        <f>G651</f>
        <v>103245.3</v>
      </c>
      <c r="H650" s="53">
        <f>H651</f>
        <v>0</v>
      </c>
      <c r="I650" s="53">
        <f>I651</f>
        <v>102662.2</v>
      </c>
      <c r="J650" s="53">
        <f>J651</f>
        <v>0</v>
      </c>
      <c r="K650" s="83"/>
    </row>
    <row r="651" spans="1:11" ht="42.75">
      <c r="A651" s="2" t="s">
        <v>365</v>
      </c>
      <c r="B651" s="4" t="s">
        <v>327</v>
      </c>
      <c r="C651" s="4" t="s">
        <v>259</v>
      </c>
      <c r="D651" s="4" t="s">
        <v>379</v>
      </c>
      <c r="E651" s="4"/>
      <c r="F651" s="4"/>
      <c r="G651" s="53">
        <f>G652+G653+G654</f>
        <v>103245.3</v>
      </c>
      <c r="H651" s="53">
        <f>H652+H653+H654</f>
        <v>0</v>
      </c>
      <c r="I651" s="53">
        <f>I652+I653+I654</f>
        <v>102662.2</v>
      </c>
      <c r="J651" s="53">
        <f>J652+J653+J654</f>
        <v>0</v>
      </c>
      <c r="K651" s="83"/>
    </row>
    <row r="652" spans="1:11" ht="28.5">
      <c r="A652" s="2" t="s">
        <v>431</v>
      </c>
      <c r="B652" s="4" t="s">
        <v>327</v>
      </c>
      <c r="C652" s="4" t="s">
        <v>259</v>
      </c>
      <c r="D652" s="4" t="s">
        <v>379</v>
      </c>
      <c r="E652" s="4" t="s">
        <v>421</v>
      </c>
      <c r="F652" s="4"/>
      <c r="G652" s="53">
        <f>'Прилож №7'!H357+'Прилож №7'!H639</f>
        <v>415</v>
      </c>
      <c r="H652" s="53">
        <f>'Прилож №7'!I357+'Прилож №7'!I639</f>
        <v>0</v>
      </c>
      <c r="I652" s="53">
        <f>'Прилож №7'!J357+'Прилож №7'!J639</f>
        <v>415</v>
      </c>
      <c r="J652" s="53">
        <f>'Прилож №7'!K357+'Прилож №7'!K639</f>
        <v>0</v>
      </c>
      <c r="K652" s="83"/>
    </row>
    <row r="653" spans="1:11" ht="102" customHeight="1">
      <c r="A653" s="47" t="s">
        <v>235</v>
      </c>
      <c r="B653" s="4" t="s">
        <v>327</v>
      </c>
      <c r="C653" s="4" t="s">
        <v>259</v>
      </c>
      <c r="D653" s="4" t="s">
        <v>609</v>
      </c>
      <c r="E653" s="4" t="s">
        <v>227</v>
      </c>
      <c r="F653" s="4"/>
      <c r="G653" s="53">
        <f>'Прилож №7'!H358</f>
        <v>100560</v>
      </c>
      <c r="H653" s="53">
        <f>'Прилож №7'!I358</f>
        <v>0</v>
      </c>
      <c r="I653" s="53">
        <f>'Прилож №7'!J358</f>
        <v>99976.9</v>
      </c>
      <c r="J653" s="53">
        <f>'Прилож №7'!K358</f>
        <v>0</v>
      </c>
      <c r="K653" s="83"/>
    </row>
    <row r="654" spans="1:11" ht="14.25">
      <c r="A654" s="7" t="s">
        <v>399</v>
      </c>
      <c r="B654" s="4" t="s">
        <v>327</v>
      </c>
      <c r="C654" s="4" t="s">
        <v>259</v>
      </c>
      <c r="D654" s="4" t="s">
        <v>379</v>
      </c>
      <c r="E654" s="4" t="s">
        <v>398</v>
      </c>
      <c r="F654" s="6" t="s">
        <v>398</v>
      </c>
      <c r="G654" s="53">
        <f>'Прилож №7'!H640</f>
        <v>2270.3</v>
      </c>
      <c r="H654" s="53">
        <f>'Прилож №7'!I640</f>
        <v>0</v>
      </c>
      <c r="I654" s="53">
        <f>'Прилож №7'!J640</f>
        <v>2270.3</v>
      </c>
      <c r="J654" s="53">
        <f>'Прилож №7'!K640</f>
        <v>0</v>
      </c>
      <c r="K654" s="83"/>
    </row>
    <row r="655" spans="1:11" ht="15">
      <c r="A655" s="7" t="s">
        <v>124</v>
      </c>
      <c r="B655" s="4" t="s">
        <v>327</v>
      </c>
      <c r="C655" s="4" t="s">
        <v>260</v>
      </c>
      <c r="D655" s="4"/>
      <c r="E655" s="4"/>
      <c r="F655" s="6"/>
      <c r="G655" s="53">
        <f aca="true" t="shared" si="40" ref="G655:J657">G656</f>
        <v>90</v>
      </c>
      <c r="H655" s="53">
        <f t="shared" si="40"/>
        <v>90</v>
      </c>
      <c r="I655" s="53">
        <f t="shared" si="40"/>
        <v>90</v>
      </c>
      <c r="J655" s="53">
        <f t="shared" si="40"/>
        <v>90</v>
      </c>
      <c r="K655" s="63">
        <f>I655/G655*100</f>
        <v>100</v>
      </c>
    </row>
    <row r="656" spans="1:11" ht="42.75">
      <c r="A656" s="7" t="s">
        <v>127</v>
      </c>
      <c r="B656" s="4" t="s">
        <v>327</v>
      </c>
      <c r="C656" s="4" t="s">
        <v>260</v>
      </c>
      <c r="D656" s="4" t="s">
        <v>125</v>
      </c>
      <c r="E656" s="4"/>
      <c r="F656" s="6"/>
      <c r="G656" s="53">
        <f t="shared" si="40"/>
        <v>90</v>
      </c>
      <c r="H656" s="53">
        <f t="shared" si="40"/>
        <v>90</v>
      </c>
      <c r="I656" s="53">
        <f t="shared" si="40"/>
        <v>90</v>
      </c>
      <c r="J656" s="53">
        <f t="shared" si="40"/>
        <v>90</v>
      </c>
      <c r="K656" s="83"/>
    </row>
    <row r="657" spans="1:11" ht="124.5" customHeight="1">
      <c r="A657" s="7" t="s">
        <v>128</v>
      </c>
      <c r="B657" s="4" t="s">
        <v>327</v>
      </c>
      <c r="C657" s="4" t="s">
        <v>260</v>
      </c>
      <c r="D657" s="4" t="s">
        <v>126</v>
      </c>
      <c r="E657" s="4"/>
      <c r="F657" s="6" t="s">
        <v>421</v>
      </c>
      <c r="G657" s="53">
        <f t="shared" si="40"/>
        <v>90</v>
      </c>
      <c r="H657" s="53">
        <f t="shared" si="40"/>
        <v>90</v>
      </c>
      <c r="I657" s="53">
        <f t="shared" si="40"/>
        <v>90</v>
      </c>
      <c r="J657" s="53">
        <f t="shared" si="40"/>
        <v>90</v>
      </c>
      <c r="K657" s="83"/>
    </row>
    <row r="658" spans="1:11" ht="28.5">
      <c r="A658" s="2" t="s">
        <v>431</v>
      </c>
      <c r="B658" s="4" t="s">
        <v>327</v>
      </c>
      <c r="C658" s="4" t="s">
        <v>260</v>
      </c>
      <c r="D658" s="4" t="s">
        <v>126</v>
      </c>
      <c r="E658" s="4" t="s">
        <v>421</v>
      </c>
      <c r="F658" s="6"/>
      <c r="G658" s="53">
        <f>'Прилож №7'!H644</f>
        <v>90</v>
      </c>
      <c r="H658" s="53">
        <f>'Прилож №7'!I644</f>
        <v>90</v>
      </c>
      <c r="I658" s="53">
        <f>'Прилож №7'!J644</f>
        <v>90</v>
      </c>
      <c r="J658" s="53">
        <f>'Прилож №7'!K644</f>
        <v>90</v>
      </c>
      <c r="K658" s="83"/>
    </row>
    <row r="659" spans="1:11" ht="15">
      <c r="A659" s="58" t="s">
        <v>450</v>
      </c>
      <c r="B659" s="3" t="s">
        <v>262</v>
      </c>
      <c r="C659" s="3"/>
      <c r="D659" s="3"/>
      <c r="E659" s="3"/>
      <c r="F659" s="5"/>
      <c r="G659" s="48">
        <f>G660</f>
        <v>1655</v>
      </c>
      <c r="H659" s="48">
        <f>H660</f>
        <v>0</v>
      </c>
      <c r="I659" s="48">
        <f>I660</f>
        <v>1655</v>
      </c>
      <c r="J659" s="48">
        <f>J660</f>
        <v>0</v>
      </c>
      <c r="K659" s="63">
        <f>I659/G659*100</f>
        <v>100</v>
      </c>
    </row>
    <row r="660" spans="1:11" ht="15">
      <c r="A660" s="47" t="s">
        <v>449</v>
      </c>
      <c r="B660" s="3" t="s">
        <v>262</v>
      </c>
      <c r="C660" s="3" t="s">
        <v>261</v>
      </c>
      <c r="D660" s="4"/>
      <c r="E660" s="4"/>
      <c r="F660" s="6"/>
      <c r="G660" s="53">
        <f>G661</f>
        <v>1655</v>
      </c>
      <c r="H660" s="53">
        <f aca="true" t="shared" si="41" ref="H660:J662">H661</f>
        <v>0</v>
      </c>
      <c r="I660" s="53">
        <f t="shared" si="41"/>
        <v>1655</v>
      </c>
      <c r="J660" s="53">
        <f t="shared" si="41"/>
        <v>0</v>
      </c>
      <c r="K660" s="83"/>
    </row>
    <row r="661" spans="1:11" ht="42.75">
      <c r="A661" s="2" t="s">
        <v>451</v>
      </c>
      <c r="B661" s="4" t="s">
        <v>262</v>
      </c>
      <c r="C661" s="4" t="s">
        <v>261</v>
      </c>
      <c r="D661" s="4" t="s">
        <v>293</v>
      </c>
      <c r="E661" s="4"/>
      <c r="F661" s="6"/>
      <c r="G661" s="53">
        <f>G662</f>
        <v>1655</v>
      </c>
      <c r="H661" s="53">
        <f t="shared" si="41"/>
        <v>0</v>
      </c>
      <c r="I661" s="53">
        <f t="shared" si="41"/>
        <v>1655</v>
      </c>
      <c r="J661" s="53">
        <f t="shared" si="41"/>
        <v>0</v>
      </c>
      <c r="K661" s="83"/>
    </row>
    <row r="662" spans="1:11" ht="42.75">
      <c r="A662" s="2" t="s">
        <v>453</v>
      </c>
      <c r="B662" s="4" t="s">
        <v>262</v>
      </c>
      <c r="C662" s="4" t="s">
        <v>261</v>
      </c>
      <c r="D662" s="4" t="s">
        <v>452</v>
      </c>
      <c r="E662" s="4"/>
      <c r="F662" s="6"/>
      <c r="G662" s="53">
        <f>G663</f>
        <v>1655</v>
      </c>
      <c r="H662" s="53">
        <f t="shared" si="41"/>
        <v>0</v>
      </c>
      <c r="I662" s="53">
        <f t="shared" si="41"/>
        <v>1655</v>
      </c>
      <c r="J662" s="53">
        <f t="shared" si="41"/>
        <v>0</v>
      </c>
      <c r="K662" s="83"/>
    </row>
    <row r="663" spans="1:11" ht="28.5">
      <c r="A663" s="2" t="s">
        <v>431</v>
      </c>
      <c r="B663" s="4" t="s">
        <v>262</v>
      </c>
      <c r="C663" s="4" t="s">
        <v>261</v>
      </c>
      <c r="D663" s="4" t="s">
        <v>452</v>
      </c>
      <c r="E663" s="4" t="s">
        <v>421</v>
      </c>
      <c r="F663" s="6" t="s">
        <v>421</v>
      </c>
      <c r="G663" s="53">
        <f>'Прилож №7'!H363</f>
        <v>1655</v>
      </c>
      <c r="H663" s="53">
        <f>'Прилож №7'!I363</f>
        <v>0</v>
      </c>
      <c r="I663" s="53">
        <f>'Прилож №7'!J363</f>
        <v>1655</v>
      </c>
      <c r="J663" s="53">
        <f>'Прилож №7'!K363</f>
        <v>0</v>
      </c>
      <c r="K663" s="83"/>
    </row>
    <row r="664" spans="1:11" ht="15">
      <c r="A664" s="11" t="s">
        <v>185</v>
      </c>
      <c r="B664" s="3" t="s">
        <v>221</v>
      </c>
      <c r="C664" s="3" t="s">
        <v>221</v>
      </c>
      <c r="D664" s="3" t="s">
        <v>173</v>
      </c>
      <c r="E664" s="3" t="s">
        <v>175</v>
      </c>
      <c r="F664" s="3"/>
      <c r="G664" s="48">
        <f>G12+G120+G134+G155+G219+G289+G295+G461+G529+G581+G634+G659</f>
        <v>3495200.1</v>
      </c>
      <c r="H664" s="48">
        <f>H12+H120+H134+H155+H219+H289+H295+H461+H529+H581+H634+H659</f>
        <v>1556504.5999999999</v>
      </c>
      <c r="I664" s="48">
        <f>I12+I120+I134+I155+I219+I289+I295+I461+I529+I581+I634+I659</f>
        <v>3274379.4</v>
      </c>
      <c r="J664" s="48">
        <f>J12+J120+J134+J155+J219+J289+J295+J461+J529+J581+J634+J659</f>
        <v>1496194.9</v>
      </c>
      <c r="K664" s="63">
        <f>I664/G664*100</f>
        <v>93.68217287473756</v>
      </c>
    </row>
  </sheetData>
  <sheetProtection/>
  <mergeCells count="15">
    <mergeCell ref="I1:K1"/>
    <mergeCell ref="H2:K2"/>
    <mergeCell ref="I3:K3"/>
    <mergeCell ref="A7:J7"/>
    <mergeCell ref="A8:J8"/>
    <mergeCell ref="I10:I11"/>
    <mergeCell ref="J10:J11"/>
    <mergeCell ref="K10:K11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8"/>
  <sheetViews>
    <sheetView zoomScale="75" zoomScaleNormal="75" zoomScaleSheetLayoutView="75" zoomScalePageLayoutView="0" workbookViewId="0" topLeftCell="A1">
      <selection activeCell="C26" sqref="C26"/>
    </sheetView>
  </sheetViews>
  <sheetFormatPr defaultColWidth="8.796875" defaultRowHeight="15"/>
  <cols>
    <col min="1" max="1" width="54.09765625" style="20" customWidth="1"/>
    <col min="2" max="2" width="4.8984375" style="41" customWidth="1"/>
    <col min="3" max="3" width="7.3984375" style="41" customWidth="1"/>
    <col min="4" max="4" width="5.19921875" style="41" customWidth="1"/>
    <col min="5" max="5" width="10.5" style="41" customWidth="1"/>
    <col min="6" max="6" width="2.09765625" style="41" hidden="1" customWidth="1"/>
    <col min="7" max="7" width="5.59765625" style="42" customWidth="1"/>
    <col min="8" max="8" width="17" style="43" customWidth="1"/>
    <col min="9" max="9" width="17.8984375" style="43" customWidth="1"/>
    <col min="10" max="10" width="14.69921875" style="43" customWidth="1"/>
    <col min="11" max="11" width="17.19921875" style="43" customWidth="1"/>
    <col min="12" max="12" width="15" style="9" customWidth="1"/>
    <col min="13" max="16384" width="9" style="9" customWidth="1"/>
  </cols>
  <sheetData>
    <row r="1" spans="10:12" ht="15.75">
      <c r="J1" s="102"/>
      <c r="K1" s="109" t="s">
        <v>499</v>
      </c>
      <c r="L1" s="109"/>
    </row>
    <row r="2" spans="9:12" ht="15.75" customHeight="1">
      <c r="I2" s="110" t="s">
        <v>99</v>
      </c>
      <c r="J2" s="110"/>
      <c r="K2" s="110"/>
      <c r="L2" s="110"/>
    </row>
    <row r="3" spans="10:12" ht="15.75" customHeight="1">
      <c r="J3" s="110" t="s">
        <v>638</v>
      </c>
      <c r="K3" s="110"/>
      <c r="L3" s="110"/>
    </row>
    <row r="7" spans="1:12" ht="22.5" customHeight="1">
      <c r="A7" s="111" t="s">
        <v>500</v>
      </c>
      <c r="B7" s="111"/>
      <c r="C7" s="111"/>
      <c r="D7" s="111"/>
      <c r="E7" s="111"/>
      <c r="F7" s="111"/>
      <c r="G7" s="111"/>
      <c r="H7" s="111"/>
      <c r="I7" s="111"/>
      <c r="J7" s="112"/>
      <c r="K7" s="112"/>
      <c r="L7" s="112"/>
    </row>
    <row r="8" spans="9:11" ht="15">
      <c r="I8" s="44"/>
      <c r="K8" s="44" t="s">
        <v>470</v>
      </c>
    </row>
    <row r="9" spans="1:12" ht="13.5" customHeight="1">
      <c r="A9" s="123" t="s">
        <v>141</v>
      </c>
      <c r="B9" s="118" t="s">
        <v>177</v>
      </c>
      <c r="C9" s="118" t="s">
        <v>178</v>
      </c>
      <c r="D9" s="120" t="s">
        <v>323</v>
      </c>
      <c r="E9" s="120" t="s">
        <v>324</v>
      </c>
      <c r="F9" s="3"/>
      <c r="G9" s="124" t="s">
        <v>403</v>
      </c>
      <c r="H9" s="121" t="s">
        <v>179</v>
      </c>
      <c r="I9" s="122" t="s">
        <v>325</v>
      </c>
      <c r="J9" s="126" t="s">
        <v>388</v>
      </c>
      <c r="K9" s="128" t="s">
        <v>325</v>
      </c>
      <c r="L9" s="116" t="s">
        <v>389</v>
      </c>
    </row>
    <row r="10" spans="1:12" ht="63" customHeight="1">
      <c r="A10" s="116"/>
      <c r="B10" s="119"/>
      <c r="C10" s="119"/>
      <c r="D10" s="116"/>
      <c r="E10" s="116"/>
      <c r="F10" s="3"/>
      <c r="G10" s="125"/>
      <c r="H10" s="121"/>
      <c r="I10" s="123"/>
      <c r="J10" s="127"/>
      <c r="K10" s="127"/>
      <c r="L10" s="117"/>
    </row>
    <row r="11" spans="1:12" ht="27.75" customHeight="1">
      <c r="A11" s="45" t="s">
        <v>354</v>
      </c>
      <c r="B11" s="3" t="s">
        <v>332</v>
      </c>
      <c r="C11" s="3"/>
      <c r="D11" s="3"/>
      <c r="E11" s="3"/>
      <c r="F11" s="3"/>
      <c r="G11" s="5"/>
      <c r="H11" s="48">
        <f>H12+H79+H94+H115+H171+H237+H243+H266+H270+H322+H349+H359</f>
        <v>1797174.8</v>
      </c>
      <c r="I11" s="48">
        <f>I12+I79+I94+I115+I171+I237+I243+I266+I270+I322+I349+I359</f>
        <v>947212.3999999999</v>
      </c>
      <c r="J11" s="48">
        <f>J12+J79+J94+J115+J171+J237+J243+J266+J270+J322+J349+J359</f>
        <v>1620855.5999999999</v>
      </c>
      <c r="K11" s="48">
        <f>K12+K79+K94+K115+K171+K237+K243+K266+K270+K322+K349+K359</f>
        <v>909474.7</v>
      </c>
      <c r="L11" s="63">
        <f>J11/H11*100</f>
        <v>90.1890901207829</v>
      </c>
    </row>
    <row r="12" spans="1:12" ht="15">
      <c r="A12" s="47" t="s">
        <v>153</v>
      </c>
      <c r="B12" s="3" t="s">
        <v>332</v>
      </c>
      <c r="C12" s="3" t="s">
        <v>259</v>
      </c>
      <c r="D12" s="3"/>
      <c r="E12" s="3"/>
      <c r="F12" s="3"/>
      <c r="G12" s="5"/>
      <c r="H12" s="48">
        <f>H13+H19+H51+H55</f>
        <v>145435.09999999998</v>
      </c>
      <c r="I12" s="48">
        <f>I13+I19+I51+I55</f>
        <v>16572.6</v>
      </c>
      <c r="J12" s="48">
        <f>J13+J19+J51+J55</f>
        <v>135504.30000000002</v>
      </c>
      <c r="K12" s="48">
        <f>K13+K19+K51+K55</f>
        <v>15785.899999999998</v>
      </c>
      <c r="L12" s="83"/>
    </row>
    <row r="13" spans="1:12" s="49" customFormat="1" ht="34.5" customHeight="1">
      <c r="A13" s="47" t="s">
        <v>3</v>
      </c>
      <c r="B13" s="3" t="s">
        <v>332</v>
      </c>
      <c r="C13" s="3" t="s">
        <v>259</v>
      </c>
      <c r="D13" s="3" t="s">
        <v>260</v>
      </c>
      <c r="E13" s="3"/>
      <c r="F13" s="3"/>
      <c r="G13" s="5"/>
      <c r="H13" s="53">
        <f>H14</f>
        <v>3333.6</v>
      </c>
      <c r="I13" s="53">
        <f aca="true" t="shared" si="0" ref="I13:K15">I14</f>
        <v>0</v>
      </c>
      <c r="J13" s="53">
        <f t="shared" si="0"/>
        <v>3333.6</v>
      </c>
      <c r="K13" s="53">
        <f t="shared" si="0"/>
        <v>0</v>
      </c>
      <c r="L13" s="63">
        <f>J13/H13*100</f>
        <v>100</v>
      </c>
    </row>
    <row r="14" spans="1:12" ht="64.5" customHeight="1">
      <c r="A14" s="2" t="s">
        <v>296</v>
      </c>
      <c r="B14" s="4" t="s">
        <v>332</v>
      </c>
      <c r="C14" s="4" t="s">
        <v>259</v>
      </c>
      <c r="D14" s="4" t="s">
        <v>260</v>
      </c>
      <c r="E14" s="4" t="s">
        <v>293</v>
      </c>
      <c r="F14" s="4"/>
      <c r="G14" s="6"/>
      <c r="H14" s="53">
        <f>H15</f>
        <v>3333.6</v>
      </c>
      <c r="I14" s="53">
        <f t="shared" si="0"/>
        <v>0</v>
      </c>
      <c r="J14" s="53">
        <f t="shared" si="0"/>
        <v>3333.6</v>
      </c>
      <c r="K14" s="53">
        <f t="shared" si="0"/>
        <v>0</v>
      </c>
      <c r="L14" s="83"/>
    </row>
    <row r="15" spans="1:12" ht="14.25">
      <c r="A15" s="2" t="s">
        <v>297</v>
      </c>
      <c r="B15" s="4" t="s">
        <v>332</v>
      </c>
      <c r="C15" s="4" t="s">
        <v>259</v>
      </c>
      <c r="D15" s="4" t="s">
        <v>260</v>
      </c>
      <c r="E15" s="4" t="s">
        <v>298</v>
      </c>
      <c r="F15" s="4"/>
      <c r="G15" s="6"/>
      <c r="H15" s="53">
        <f>H16</f>
        <v>3333.6</v>
      </c>
      <c r="I15" s="53">
        <f t="shared" si="0"/>
        <v>0</v>
      </c>
      <c r="J15" s="53">
        <f t="shared" si="0"/>
        <v>3333.6</v>
      </c>
      <c r="K15" s="53">
        <f t="shared" si="0"/>
        <v>0</v>
      </c>
      <c r="L15" s="83"/>
    </row>
    <row r="16" spans="1:12" ht="14.25">
      <c r="A16" s="2" t="s">
        <v>111</v>
      </c>
      <c r="B16" s="4" t="s">
        <v>332</v>
      </c>
      <c r="C16" s="4" t="s">
        <v>259</v>
      </c>
      <c r="D16" s="4" t="s">
        <v>260</v>
      </c>
      <c r="E16" s="4" t="s">
        <v>298</v>
      </c>
      <c r="F16" s="4"/>
      <c r="G16" s="6" t="s">
        <v>393</v>
      </c>
      <c r="H16" s="53">
        <f>H17+H18</f>
        <v>3333.6</v>
      </c>
      <c r="I16" s="53">
        <f>I17+I18</f>
        <v>0</v>
      </c>
      <c r="J16" s="53">
        <f>J17+J18</f>
        <v>3333.6</v>
      </c>
      <c r="K16" s="53">
        <f>K17+K18</f>
        <v>0</v>
      </c>
      <c r="L16" s="83"/>
    </row>
    <row r="17" spans="1:12" ht="14.25">
      <c r="A17" s="2" t="s">
        <v>415</v>
      </c>
      <c r="B17" s="4" t="s">
        <v>332</v>
      </c>
      <c r="C17" s="4" t="s">
        <v>259</v>
      </c>
      <c r="D17" s="4" t="s">
        <v>260</v>
      </c>
      <c r="E17" s="4" t="s">
        <v>298</v>
      </c>
      <c r="F17" s="4"/>
      <c r="G17" s="6" t="s">
        <v>414</v>
      </c>
      <c r="H17" s="53">
        <v>3006.6</v>
      </c>
      <c r="I17" s="53"/>
      <c r="J17" s="53">
        <v>3006.6</v>
      </c>
      <c r="K17" s="53"/>
      <c r="L17" s="83"/>
    </row>
    <row r="18" spans="1:12" ht="28.5">
      <c r="A18" s="2" t="s">
        <v>417</v>
      </c>
      <c r="B18" s="4" t="s">
        <v>332</v>
      </c>
      <c r="C18" s="4" t="s">
        <v>259</v>
      </c>
      <c r="D18" s="4" t="s">
        <v>260</v>
      </c>
      <c r="E18" s="4" t="s">
        <v>298</v>
      </c>
      <c r="F18" s="4"/>
      <c r="G18" s="6" t="s">
        <v>416</v>
      </c>
      <c r="H18" s="53">
        <f>322.9+4.1</f>
        <v>327</v>
      </c>
      <c r="I18" s="53"/>
      <c r="J18" s="53">
        <v>327</v>
      </c>
      <c r="K18" s="53"/>
      <c r="L18" s="83"/>
    </row>
    <row r="19" spans="1:12" s="49" customFormat="1" ht="45">
      <c r="A19" s="47" t="s">
        <v>206</v>
      </c>
      <c r="B19" s="3" t="s">
        <v>332</v>
      </c>
      <c r="C19" s="3" t="s">
        <v>259</v>
      </c>
      <c r="D19" s="3" t="s">
        <v>261</v>
      </c>
      <c r="E19" s="3"/>
      <c r="F19" s="3"/>
      <c r="G19" s="5"/>
      <c r="H19" s="48">
        <f>H20+H31+H39+H47</f>
        <v>98653.29999999999</v>
      </c>
      <c r="I19" s="48">
        <f>I20+I31+I39+I47</f>
        <v>10763</v>
      </c>
      <c r="J19" s="48">
        <f>J20+J31+J39+J47</f>
        <v>96360.20000000001</v>
      </c>
      <c r="K19" s="48">
        <f>K20+K31+K39+K47</f>
        <v>9976.3</v>
      </c>
      <c r="L19" s="63">
        <f>J19/H19*100</f>
        <v>97.67559726841375</v>
      </c>
    </row>
    <row r="20" spans="1:12" ht="54.75" customHeight="1">
      <c r="A20" s="2" t="s">
        <v>296</v>
      </c>
      <c r="B20" s="4" t="s">
        <v>332</v>
      </c>
      <c r="C20" s="4" t="s">
        <v>259</v>
      </c>
      <c r="D20" s="4" t="s">
        <v>261</v>
      </c>
      <c r="E20" s="4" t="s">
        <v>293</v>
      </c>
      <c r="F20" s="4"/>
      <c r="G20" s="6"/>
      <c r="H20" s="53">
        <f>H21</f>
        <v>87483.09999999999</v>
      </c>
      <c r="I20" s="53">
        <f>I21</f>
        <v>0</v>
      </c>
      <c r="J20" s="53">
        <f>J21</f>
        <v>85986.6</v>
      </c>
      <c r="K20" s="53">
        <f>K21</f>
        <v>0</v>
      </c>
      <c r="L20" s="83"/>
    </row>
    <row r="21" spans="1:12" ht="14.25">
      <c r="A21" s="2" t="s">
        <v>176</v>
      </c>
      <c r="B21" s="4" t="s">
        <v>332</v>
      </c>
      <c r="C21" s="4" t="s">
        <v>259</v>
      </c>
      <c r="D21" s="4" t="s">
        <v>261</v>
      </c>
      <c r="E21" s="4" t="s">
        <v>295</v>
      </c>
      <c r="F21" s="4"/>
      <c r="G21" s="6"/>
      <c r="H21" s="53">
        <f>H22+H25+H28</f>
        <v>87483.09999999999</v>
      </c>
      <c r="I21" s="53">
        <f>I22+I25+I28</f>
        <v>0</v>
      </c>
      <c r="J21" s="53">
        <f>J22+J25+J28</f>
        <v>85986.6</v>
      </c>
      <c r="K21" s="53">
        <f>K22+K25+K28</f>
        <v>0</v>
      </c>
      <c r="L21" s="83"/>
    </row>
    <row r="22" spans="1:12" ht="14.25">
      <c r="A22" s="2" t="s">
        <v>551</v>
      </c>
      <c r="B22" s="4" t="s">
        <v>332</v>
      </c>
      <c r="C22" s="4" t="s">
        <v>259</v>
      </c>
      <c r="D22" s="4" t="s">
        <v>261</v>
      </c>
      <c r="E22" s="4" t="s">
        <v>295</v>
      </c>
      <c r="F22" s="4"/>
      <c r="G22" s="6" t="s">
        <v>393</v>
      </c>
      <c r="H22" s="53">
        <f>H23+H24</f>
        <v>84166.09999999999</v>
      </c>
      <c r="I22" s="53">
        <f>I23+I24</f>
        <v>0</v>
      </c>
      <c r="J22" s="53">
        <f>J23+J24</f>
        <v>82878.8</v>
      </c>
      <c r="K22" s="53">
        <f>K23+K24</f>
        <v>0</v>
      </c>
      <c r="L22" s="83"/>
    </row>
    <row r="23" spans="1:12" ht="14.25">
      <c r="A23" s="2" t="s">
        <v>415</v>
      </c>
      <c r="B23" s="4" t="s">
        <v>332</v>
      </c>
      <c r="C23" s="4" t="s">
        <v>259</v>
      </c>
      <c r="D23" s="4" t="s">
        <v>261</v>
      </c>
      <c r="E23" s="4" t="s">
        <v>295</v>
      </c>
      <c r="F23" s="4"/>
      <c r="G23" s="50" t="s">
        <v>414</v>
      </c>
      <c r="H23" s="53">
        <v>84165.9</v>
      </c>
      <c r="I23" s="53"/>
      <c r="J23" s="53">
        <v>82878.8</v>
      </c>
      <c r="K23" s="53"/>
      <c r="L23" s="83"/>
    </row>
    <row r="24" spans="1:12" ht="28.5">
      <c r="A24" s="2" t="s">
        <v>417</v>
      </c>
      <c r="B24" s="4" t="s">
        <v>332</v>
      </c>
      <c r="C24" s="4" t="s">
        <v>259</v>
      </c>
      <c r="D24" s="4" t="s">
        <v>261</v>
      </c>
      <c r="E24" s="4" t="s">
        <v>295</v>
      </c>
      <c r="F24" s="4"/>
      <c r="G24" s="50" t="s">
        <v>416</v>
      </c>
      <c r="H24" s="53">
        <f>554.4-554.2</f>
        <v>0.1999999999999318</v>
      </c>
      <c r="I24" s="53"/>
      <c r="J24" s="53">
        <v>0</v>
      </c>
      <c r="K24" s="53"/>
      <c r="L24" s="83"/>
    </row>
    <row r="25" spans="1:12" ht="28.5">
      <c r="A25" s="2" t="s">
        <v>599</v>
      </c>
      <c r="B25" s="4" t="s">
        <v>332</v>
      </c>
      <c r="C25" s="4" t="s">
        <v>259</v>
      </c>
      <c r="D25" s="4" t="s">
        <v>261</v>
      </c>
      <c r="E25" s="4" t="s">
        <v>295</v>
      </c>
      <c r="F25" s="4"/>
      <c r="G25" s="50" t="s">
        <v>526</v>
      </c>
      <c r="H25" s="53">
        <f>H26+H27</f>
        <v>3119</v>
      </c>
      <c r="I25" s="53">
        <f>I26+I27</f>
        <v>0</v>
      </c>
      <c r="J25" s="53">
        <f>J26+J27</f>
        <v>2926.8</v>
      </c>
      <c r="K25" s="53">
        <f>K26+K27</f>
        <v>0</v>
      </c>
      <c r="L25" s="83"/>
    </row>
    <row r="26" spans="1:12" ht="28.5">
      <c r="A26" s="2" t="s">
        <v>440</v>
      </c>
      <c r="B26" s="4" t="s">
        <v>332</v>
      </c>
      <c r="C26" s="4" t="s">
        <v>259</v>
      </c>
      <c r="D26" s="4" t="s">
        <v>261</v>
      </c>
      <c r="E26" s="4" t="s">
        <v>295</v>
      </c>
      <c r="F26" s="4"/>
      <c r="G26" s="50" t="s">
        <v>437</v>
      </c>
      <c r="H26" s="53">
        <v>1354.3</v>
      </c>
      <c r="I26" s="53"/>
      <c r="J26" s="53">
        <v>1236.5</v>
      </c>
      <c r="K26" s="53"/>
      <c r="L26" s="83"/>
    </row>
    <row r="27" spans="1:12" ht="27" customHeight="1">
      <c r="A27" s="2" t="s">
        <v>431</v>
      </c>
      <c r="B27" s="4" t="s">
        <v>332</v>
      </c>
      <c r="C27" s="4" t="s">
        <v>259</v>
      </c>
      <c r="D27" s="4" t="s">
        <v>261</v>
      </c>
      <c r="E27" s="4" t="s">
        <v>295</v>
      </c>
      <c r="F27" s="4"/>
      <c r="G27" s="50" t="s">
        <v>421</v>
      </c>
      <c r="H27" s="53">
        <v>1764.7</v>
      </c>
      <c r="I27" s="53"/>
      <c r="J27" s="53">
        <v>1690.3</v>
      </c>
      <c r="K27" s="53"/>
      <c r="L27" s="83"/>
    </row>
    <row r="28" spans="1:12" ht="20.25" customHeight="1">
      <c r="A28" s="2" t="s">
        <v>553</v>
      </c>
      <c r="B28" s="4" t="s">
        <v>332</v>
      </c>
      <c r="C28" s="4" t="s">
        <v>259</v>
      </c>
      <c r="D28" s="4" t="s">
        <v>261</v>
      </c>
      <c r="E28" s="4" t="s">
        <v>295</v>
      </c>
      <c r="F28" s="4"/>
      <c r="G28" s="50" t="s">
        <v>527</v>
      </c>
      <c r="H28" s="53">
        <f>H29+H30</f>
        <v>198</v>
      </c>
      <c r="I28" s="53">
        <f>I29+I30</f>
        <v>0</v>
      </c>
      <c r="J28" s="53">
        <f>J29+J30</f>
        <v>181</v>
      </c>
      <c r="K28" s="53">
        <f>K29+K30</f>
        <v>0</v>
      </c>
      <c r="L28" s="83"/>
    </row>
    <row r="29" spans="1:12" ht="28.5" customHeight="1">
      <c r="A29" s="2" t="s">
        <v>363</v>
      </c>
      <c r="B29" s="4" t="s">
        <v>332</v>
      </c>
      <c r="C29" s="4" t="s">
        <v>259</v>
      </c>
      <c r="D29" s="4" t="s">
        <v>261</v>
      </c>
      <c r="E29" s="4" t="s">
        <v>295</v>
      </c>
      <c r="F29" s="4"/>
      <c r="G29" s="50" t="s">
        <v>418</v>
      </c>
      <c r="H29" s="53">
        <f>200-132</f>
        <v>68</v>
      </c>
      <c r="I29" s="53"/>
      <c r="J29" s="53">
        <v>53.6</v>
      </c>
      <c r="K29" s="53"/>
      <c r="L29" s="83"/>
    </row>
    <row r="30" spans="1:12" ht="18" customHeight="1">
      <c r="A30" s="2" t="s">
        <v>442</v>
      </c>
      <c r="B30" s="4" t="s">
        <v>332</v>
      </c>
      <c r="C30" s="4" t="s">
        <v>259</v>
      </c>
      <c r="D30" s="4" t="s">
        <v>261</v>
      </c>
      <c r="E30" s="4" t="s">
        <v>295</v>
      </c>
      <c r="F30" s="4"/>
      <c r="G30" s="50" t="s">
        <v>441</v>
      </c>
      <c r="H30" s="53">
        <v>130</v>
      </c>
      <c r="I30" s="53"/>
      <c r="J30" s="53">
        <v>127.4</v>
      </c>
      <c r="K30" s="53"/>
      <c r="L30" s="83"/>
    </row>
    <row r="31" spans="1:12" ht="18" customHeight="1">
      <c r="A31" s="2" t="s">
        <v>530</v>
      </c>
      <c r="B31" s="4" t="s">
        <v>332</v>
      </c>
      <c r="C31" s="4" t="s">
        <v>259</v>
      </c>
      <c r="D31" s="4" t="s">
        <v>261</v>
      </c>
      <c r="E31" s="4" t="s">
        <v>528</v>
      </c>
      <c r="F31" s="4"/>
      <c r="G31" s="50"/>
      <c r="H31" s="53">
        <f>H32</f>
        <v>2324.2</v>
      </c>
      <c r="I31" s="53">
        <f aca="true" t="shared" si="1" ref="I31:K32">I32</f>
        <v>1917</v>
      </c>
      <c r="J31" s="53">
        <f t="shared" si="1"/>
        <v>2314.3</v>
      </c>
      <c r="K31" s="53">
        <f t="shared" si="1"/>
        <v>1917</v>
      </c>
      <c r="L31" s="83"/>
    </row>
    <row r="32" spans="1:12" ht="50.25" customHeight="1">
      <c r="A32" s="2" t="s">
        <v>613</v>
      </c>
      <c r="B32" s="4" t="s">
        <v>332</v>
      </c>
      <c r="C32" s="4" t="s">
        <v>259</v>
      </c>
      <c r="D32" s="4" t="s">
        <v>261</v>
      </c>
      <c r="E32" s="4" t="s">
        <v>612</v>
      </c>
      <c r="F32" s="4"/>
      <c r="G32" s="50"/>
      <c r="H32" s="53">
        <f>H33</f>
        <v>2324.2</v>
      </c>
      <c r="I32" s="53">
        <f t="shared" si="1"/>
        <v>1917</v>
      </c>
      <c r="J32" s="53">
        <f t="shared" si="1"/>
        <v>2314.3</v>
      </c>
      <c r="K32" s="53">
        <f t="shared" si="1"/>
        <v>1917</v>
      </c>
      <c r="L32" s="83"/>
    </row>
    <row r="33" spans="1:12" ht="74.25" customHeight="1">
      <c r="A33" s="2" t="s">
        <v>10</v>
      </c>
      <c r="B33" s="4" t="s">
        <v>332</v>
      </c>
      <c r="C33" s="4" t="s">
        <v>259</v>
      </c>
      <c r="D33" s="4" t="s">
        <v>261</v>
      </c>
      <c r="E33" s="4" t="s">
        <v>529</v>
      </c>
      <c r="F33" s="4"/>
      <c r="G33" s="50"/>
      <c r="H33" s="53">
        <f>H34+H36</f>
        <v>2324.2</v>
      </c>
      <c r="I33" s="53">
        <f>I34+I36</f>
        <v>1917</v>
      </c>
      <c r="J33" s="53">
        <f>J34+J36</f>
        <v>2314.3</v>
      </c>
      <c r="K33" s="53">
        <f>K34+K36</f>
        <v>1917</v>
      </c>
      <c r="L33" s="83"/>
    </row>
    <row r="34" spans="1:12" ht="18" customHeight="1">
      <c r="A34" s="2" t="s">
        <v>551</v>
      </c>
      <c r="B34" s="4" t="s">
        <v>332</v>
      </c>
      <c r="C34" s="4" t="s">
        <v>259</v>
      </c>
      <c r="D34" s="4" t="s">
        <v>261</v>
      </c>
      <c r="E34" s="4" t="s">
        <v>529</v>
      </c>
      <c r="F34" s="4"/>
      <c r="G34" s="50" t="s">
        <v>393</v>
      </c>
      <c r="H34" s="53">
        <f>H35</f>
        <v>1642.6</v>
      </c>
      <c r="I34" s="53">
        <f>I35</f>
        <v>1642.6</v>
      </c>
      <c r="J34" s="53">
        <f>J35</f>
        <v>1642.6</v>
      </c>
      <c r="K34" s="53">
        <f>K35</f>
        <v>1642.6</v>
      </c>
      <c r="L34" s="83"/>
    </row>
    <row r="35" spans="1:12" ht="18" customHeight="1">
      <c r="A35" s="2" t="s">
        <v>415</v>
      </c>
      <c r="B35" s="4" t="s">
        <v>332</v>
      </c>
      <c r="C35" s="4" t="s">
        <v>259</v>
      </c>
      <c r="D35" s="4" t="s">
        <v>261</v>
      </c>
      <c r="E35" s="4" t="s">
        <v>529</v>
      </c>
      <c r="F35" s="4"/>
      <c r="G35" s="50" t="s">
        <v>414</v>
      </c>
      <c r="H35" s="53">
        <v>1642.6</v>
      </c>
      <c r="I35" s="53">
        <v>1642.6</v>
      </c>
      <c r="J35" s="53">
        <v>1642.6</v>
      </c>
      <c r="K35" s="53">
        <v>1642.6</v>
      </c>
      <c r="L35" s="83"/>
    </row>
    <row r="36" spans="1:12" ht="29.25" customHeight="1">
      <c r="A36" s="2" t="s">
        <v>599</v>
      </c>
      <c r="B36" s="4" t="s">
        <v>332</v>
      </c>
      <c r="C36" s="4" t="s">
        <v>259</v>
      </c>
      <c r="D36" s="4" t="s">
        <v>261</v>
      </c>
      <c r="E36" s="4" t="s">
        <v>529</v>
      </c>
      <c r="F36" s="4"/>
      <c r="G36" s="50" t="s">
        <v>526</v>
      </c>
      <c r="H36" s="53">
        <f>H38+H37</f>
        <v>681.6</v>
      </c>
      <c r="I36" s="53">
        <f>I38+I37</f>
        <v>274.40000000000003</v>
      </c>
      <c r="J36" s="53">
        <f>J38+J37</f>
        <v>671.7</v>
      </c>
      <c r="K36" s="53">
        <f>K38+K37</f>
        <v>274.40000000000003</v>
      </c>
      <c r="L36" s="83"/>
    </row>
    <row r="37" spans="1:12" ht="29.25" customHeight="1">
      <c r="A37" s="2" t="s">
        <v>440</v>
      </c>
      <c r="B37" s="4" t="s">
        <v>332</v>
      </c>
      <c r="C37" s="4" t="s">
        <v>259</v>
      </c>
      <c r="D37" s="4" t="s">
        <v>261</v>
      </c>
      <c r="E37" s="4" t="s">
        <v>529</v>
      </c>
      <c r="F37" s="4"/>
      <c r="G37" s="50" t="s">
        <v>437</v>
      </c>
      <c r="H37" s="53">
        <f>167.3+99</f>
        <v>266.3</v>
      </c>
      <c r="I37" s="53">
        <v>265.6</v>
      </c>
      <c r="J37" s="53">
        <v>265.6</v>
      </c>
      <c r="K37" s="53">
        <v>265.6</v>
      </c>
      <c r="L37" s="83"/>
    </row>
    <row r="38" spans="1:12" ht="30" customHeight="1">
      <c r="A38" s="2" t="s">
        <v>431</v>
      </c>
      <c r="B38" s="4" t="s">
        <v>332</v>
      </c>
      <c r="C38" s="4" t="s">
        <v>259</v>
      </c>
      <c r="D38" s="4" t="s">
        <v>261</v>
      </c>
      <c r="E38" s="4" t="s">
        <v>529</v>
      </c>
      <c r="F38" s="4"/>
      <c r="G38" s="50" t="s">
        <v>421</v>
      </c>
      <c r="H38" s="53">
        <v>415.3</v>
      </c>
      <c r="I38" s="53">
        <v>8.8</v>
      </c>
      <c r="J38" s="53">
        <v>406.1</v>
      </c>
      <c r="K38" s="53">
        <v>8.8</v>
      </c>
      <c r="L38" s="83"/>
    </row>
    <row r="39" spans="1:12" ht="51" customHeight="1">
      <c r="A39" s="2" t="s">
        <v>554</v>
      </c>
      <c r="B39" s="4" t="s">
        <v>332</v>
      </c>
      <c r="C39" s="4" t="s">
        <v>259</v>
      </c>
      <c r="D39" s="4" t="s">
        <v>261</v>
      </c>
      <c r="E39" s="4" t="s">
        <v>531</v>
      </c>
      <c r="F39" s="4"/>
      <c r="G39" s="50"/>
      <c r="H39" s="53">
        <f>H40</f>
        <v>6061</v>
      </c>
      <c r="I39" s="53">
        <f aca="true" t="shared" si="2" ref="I39:K40">I40</f>
        <v>6061</v>
      </c>
      <c r="J39" s="53">
        <f t="shared" si="2"/>
        <v>5274.3</v>
      </c>
      <c r="K39" s="53">
        <f t="shared" si="2"/>
        <v>5274.3</v>
      </c>
      <c r="L39" s="83"/>
    </row>
    <row r="40" spans="1:12" ht="36" customHeight="1">
      <c r="A40" s="2" t="s">
        <v>615</v>
      </c>
      <c r="B40" s="4" t="s">
        <v>332</v>
      </c>
      <c r="C40" s="4" t="s">
        <v>259</v>
      </c>
      <c r="D40" s="4" t="s">
        <v>261</v>
      </c>
      <c r="E40" s="4" t="s">
        <v>614</v>
      </c>
      <c r="F40" s="4"/>
      <c r="G40" s="50"/>
      <c r="H40" s="53">
        <f>H41</f>
        <v>6061</v>
      </c>
      <c r="I40" s="53">
        <f t="shared" si="2"/>
        <v>6061</v>
      </c>
      <c r="J40" s="53">
        <f t="shared" si="2"/>
        <v>5274.3</v>
      </c>
      <c r="K40" s="53">
        <f t="shared" si="2"/>
        <v>5274.3</v>
      </c>
      <c r="L40" s="83"/>
    </row>
    <row r="41" spans="1:12" ht="31.5" customHeight="1">
      <c r="A41" s="2" t="s">
        <v>616</v>
      </c>
      <c r="B41" s="4" t="s">
        <v>332</v>
      </c>
      <c r="C41" s="4" t="s">
        <v>259</v>
      </c>
      <c r="D41" s="4" t="s">
        <v>261</v>
      </c>
      <c r="E41" s="4" t="s">
        <v>532</v>
      </c>
      <c r="F41" s="4"/>
      <c r="G41" s="50"/>
      <c r="H41" s="53">
        <f>H42+H44</f>
        <v>6061</v>
      </c>
      <c r="I41" s="53">
        <f>I42+I44</f>
        <v>6061</v>
      </c>
      <c r="J41" s="53">
        <f>J42+J44</f>
        <v>5274.3</v>
      </c>
      <c r="K41" s="53">
        <f>K42+K44</f>
        <v>5274.3</v>
      </c>
      <c r="L41" s="83"/>
    </row>
    <row r="42" spans="1:12" ht="19.5" customHeight="1">
      <c r="A42" s="2" t="s">
        <v>551</v>
      </c>
      <c r="B42" s="4" t="s">
        <v>332</v>
      </c>
      <c r="C42" s="4" t="s">
        <v>259</v>
      </c>
      <c r="D42" s="4" t="s">
        <v>261</v>
      </c>
      <c r="E42" s="4" t="s">
        <v>532</v>
      </c>
      <c r="F42" s="4"/>
      <c r="G42" s="50" t="s">
        <v>393</v>
      </c>
      <c r="H42" s="53">
        <f>H43</f>
        <v>4967.3</v>
      </c>
      <c r="I42" s="53">
        <f>I43</f>
        <v>4967.3</v>
      </c>
      <c r="J42" s="53">
        <f>J43</f>
        <v>4329.5</v>
      </c>
      <c r="K42" s="53">
        <f>K43</f>
        <v>4329.5</v>
      </c>
      <c r="L42" s="83"/>
    </row>
    <row r="43" spans="1:12" ht="18.75" customHeight="1">
      <c r="A43" s="2" t="s">
        <v>415</v>
      </c>
      <c r="B43" s="4" t="s">
        <v>332</v>
      </c>
      <c r="C43" s="4" t="s">
        <v>259</v>
      </c>
      <c r="D43" s="4" t="s">
        <v>261</v>
      </c>
      <c r="E43" s="4" t="s">
        <v>532</v>
      </c>
      <c r="F43" s="4"/>
      <c r="G43" s="50" t="s">
        <v>414</v>
      </c>
      <c r="H43" s="53">
        <f>4995+460-416.2-66-5.5</f>
        <v>4967.3</v>
      </c>
      <c r="I43" s="53">
        <f>4995+460-416.2-66-5.5</f>
        <v>4967.3</v>
      </c>
      <c r="J43" s="53">
        <v>4329.5</v>
      </c>
      <c r="K43" s="53">
        <v>4329.5</v>
      </c>
      <c r="L43" s="83"/>
    </row>
    <row r="44" spans="1:12" ht="30" customHeight="1">
      <c r="A44" s="2" t="s">
        <v>599</v>
      </c>
      <c r="B44" s="4" t="s">
        <v>332</v>
      </c>
      <c r="C44" s="4" t="s">
        <v>259</v>
      </c>
      <c r="D44" s="4" t="s">
        <v>261</v>
      </c>
      <c r="E44" s="4" t="s">
        <v>532</v>
      </c>
      <c r="F44" s="4"/>
      <c r="G44" s="50" t="s">
        <v>526</v>
      </c>
      <c r="H44" s="53">
        <f>H45+H46</f>
        <v>1093.7</v>
      </c>
      <c r="I44" s="53">
        <f>I45+I46</f>
        <v>1093.7</v>
      </c>
      <c r="J44" s="53">
        <f>J45+J46</f>
        <v>944.8</v>
      </c>
      <c r="K44" s="53">
        <f>K45+K46</f>
        <v>944.8</v>
      </c>
      <c r="L44" s="83"/>
    </row>
    <row r="45" spans="1:12" ht="33" customHeight="1">
      <c r="A45" s="2" t="s">
        <v>440</v>
      </c>
      <c r="B45" s="4" t="s">
        <v>332</v>
      </c>
      <c r="C45" s="4" t="s">
        <v>259</v>
      </c>
      <c r="D45" s="4" t="s">
        <v>261</v>
      </c>
      <c r="E45" s="4" t="s">
        <v>532</v>
      </c>
      <c r="F45" s="4"/>
      <c r="G45" s="50" t="s">
        <v>437</v>
      </c>
      <c r="H45" s="53">
        <f>16+43.8+323.2+66+100</f>
        <v>549</v>
      </c>
      <c r="I45" s="53">
        <f>16+43.8+323.2+66+100</f>
        <v>549</v>
      </c>
      <c r="J45" s="53">
        <v>497.7</v>
      </c>
      <c r="K45" s="53">
        <v>497.7</v>
      </c>
      <c r="L45" s="83"/>
    </row>
    <row r="46" spans="1:12" ht="31.5" customHeight="1">
      <c r="A46" s="2" t="s">
        <v>431</v>
      </c>
      <c r="B46" s="4" t="s">
        <v>332</v>
      </c>
      <c r="C46" s="4" t="s">
        <v>259</v>
      </c>
      <c r="D46" s="4" t="s">
        <v>261</v>
      </c>
      <c r="E46" s="4" t="s">
        <v>532</v>
      </c>
      <c r="F46" s="4"/>
      <c r="G46" s="50" t="s">
        <v>421</v>
      </c>
      <c r="H46" s="53">
        <f>1050-503.8+93-100+5.5</f>
        <v>544.7</v>
      </c>
      <c r="I46" s="53">
        <f>1050-503.8+93-100+5.5</f>
        <v>544.7</v>
      </c>
      <c r="J46" s="53">
        <v>447.1</v>
      </c>
      <c r="K46" s="53">
        <v>447.1</v>
      </c>
      <c r="L46" s="83"/>
    </row>
    <row r="47" spans="1:12" ht="46.5" customHeight="1">
      <c r="A47" s="2" t="s">
        <v>516</v>
      </c>
      <c r="B47" s="4" t="s">
        <v>332</v>
      </c>
      <c r="C47" s="4" t="s">
        <v>259</v>
      </c>
      <c r="D47" s="4" t="s">
        <v>261</v>
      </c>
      <c r="E47" s="4" t="s">
        <v>513</v>
      </c>
      <c r="F47" s="4"/>
      <c r="G47" s="50"/>
      <c r="H47" s="53">
        <f aca="true" t="shared" si="3" ref="H47:K49">H48</f>
        <v>2785</v>
      </c>
      <c r="I47" s="53">
        <f t="shared" si="3"/>
        <v>2785</v>
      </c>
      <c r="J47" s="53">
        <f t="shared" si="3"/>
        <v>2785</v>
      </c>
      <c r="K47" s="53">
        <f t="shared" si="3"/>
        <v>2785</v>
      </c>
      <c r="L47" s="83"/>
    </row>
    <row r="48" spans="1:12" ht="55.5" customHeight="1">
      <c r="A48" s="2" t="s">
        <v>617</v>
      </c>
      <c r="B48" s="4" t="s">
        <v>332</v>
      </c>
      <c r="C48" s="4" t="s">
        <v>259</v>
      </c>
      <c r="D48" s="4" t="s">
        <v>261</v>
      </c>
      <c r="E48" s="4" t="s">
        <v>533</v>
      </c>
      <c r="F48" s="4"/>
      <c r="G48" s="50"/>
      <c r="H48" s="53">
        <f>H49</f>
        <v>2785</v>
      </c>
      <c r="I48" s="53">
        <f t="shared" si="3"/>
        <v>2785</v>
      </c>
      <c r="J48" s="53">
        <f t="shared" si="3"/>
        <v>2785</v>
      </c>
      <c r="K48" s="53">
        <f t="shared" si="3"/>
        <v>2785</v>
      </c>
      <c r="L48" s="83"/>
    </row>
    <row r="49" spans="1:12" ht="18" customHeight="1">
      <c r="A49" s="2" t="s">
        <v>551</v>
      </c>
      <c r="B49" s="4" t="s">
        <v>332</v>
      </c>
      <c r="C49" s="4" t="s">
        <v>259</v>
      </c>
      <c r="D49" s="4" t="s">
        <v>261</v>
      </c>
      <c r="E49" s="4" t="s">
        <v>533</v>
      </c>
      <c r="F49" s="4"/>
      <c r="G49" s="50" t="s">
        <v>393</v>
      </c>
      <c r="H49" s="53">
        <f t="shared" si="3"/>
        <v>2785</v>
      </c>
      <c r="I49" s="53">
        <f t="shared" si="3"/>
        <v>2785</v>
      </c>
      <c r="J49" s="53">
        <f t="shared" si="3"/>
        <v>2785</v>
      </c>
      <c r="K49" s="53">
        <f t="shared" si="3"/>
        <v>2785</v>
      </c>
      <c r="L49" s="83"/>
    </row>
    <row r="50" spans="1:12" ht="18" customHeight="1">
      <c r="A50" s="2" t="s">
        <v>415</v>
      </c>
      <c r="B50" s="4" t="s">
        <v>332</v>
      </c>
      <c r="C50" s="4" t="s">
        <v>259</v>
      </c>
      <c r="D50" s="4" t="s">
        <v>261</v>
      </c>
      <c r="E50" s="4" t="s">
        <v>533</v>
      </c>
      <c r="F50" s="4"/>
      <c r="G50" s="50" t="s">
        <v>414</v>
      </c>
      <c r="H50" s="53">
        <v>2785</v>
      </c>
      <c r="I50" s="53">
        <v>2785</v>
      </c>
      <c r="J50" s="53">
        <v>2785</v>
      </c>
      <c r="K50" s="53">
        <v>2785</v>
      </c>
      <c r="L50" s="83"/>
    </row>
    <row r="51" spans="1:12" s="49" customFormat="1" ht="15">
      <c r="A51" s="47" t="s">
        <v>152</v>
      </c>
      <c r="B51" s="3" t="s">
        <v>332</v>
      </c>
      <c r="C51" s="3" t="s">
        <v>259</v>
      </c>
      <c r="D51" s="3" t="s">
        <v>327</v>
      </c>
      <c r="E51" s="3"/>
      <c r="F51" s="3"/>
      <c r="G51" s="5"/>
      <c r="H51" s="48">
        <f>H52</f>
        <v>4136.7</v>
      </c>
      <c r="I51" s="48">
        <f aca="true" t="shared" si="4" ref="I51:K53">I52</f>
        <v>0</v>
      </c>
      <c r="J51" s="48">
        <f t="shared" si="4"/>
        <v>0</v>
      </c>
      <c r="K51" s="48">
        <f t="shared" si="4"/>
        <v>0</v>
      </c>
      <c r="L51" s="63">
        <f>J51/H51*100</f>
        <v>0</v>
      </c>
    </row>
    <row r="52" spans="1:12" ht="15">
      <c r="A52" s="47" t="s">
        <v>152</v>
      </c>
      <c r="B52" s="3" t="s">
        <v>332</v>
      </c>
      <c r="C52" s="3" t="s">
        <v>259</v>
      </c>
      <c r="D52" s="3" t="s">
        <v>327</v>
      </c>
      <c r="E52" s="3" t="s">
        <v>154</v>
      </c>
      <c r="F52" s="3"/>
      <c r="G52" s="5"/>
      <c r="H52" s="48">
        <f>H53</f>
        <v>4136.7</v>
      </c>
      <c r="I52" s="48">
        <f t="shared" si="4"/>
        <v>0</v>
      </c>
      <c r="J52" s="48">
        <f t="shared" si="4"/>
        <v>0</v>
      </c>
      <c r="K52" s="48">
        <f t="shared" si="4"/>
        <v>0</v>
      </c>
      <c r="L52" s="83"/>
    </row>
    <row r="53" spans="1:12" ht="28.5">
      <c r="A53" s="2" t="s">
        <v>244</v>
      </c>
      <c r="B53" s="4" t="s">
        <v>332</v>
      </c>
      <c r="C53" s="4" t="s">
        <v>259</v>
      </c>
      <c r="D53" s="4" t="s">
        <v>327</v>
      </c>
      <c r="E53" s="4" t="s">
        <v>245</v>
      </c>
      <c r="F53" s="4"/>
      <c r="G53" s="6"/>
      <c r="H53" s="53">
        <f>H54</f>
        <v>4136.7</v>
      </c>
      <c r="I53" s="53">
        <f t="shared" si="4"/>
        <v>0</v>
      </c>
      <c r="J53" s="53">
        <f t="shared" si="4"/>
        <v>0</v>
      </c>
      <c r="K53" s="53">
        <f t="shared" si="4"/>
        <v>0</v>
      </c>
      <c r="L53" s="83"/>
    </row>
    <row r="54" spans="1:12" ht="14.25">
      <c r="A54" s="2" t="s">
        <v>420</v>
      </c>
      <c r="B54" s="4" t="s">
        <v>332</v>
      </c>
      <c r="C54" s="4" t="s">
        <v>259</v>
      </c>
      <c r="D54" s="4" t="s">
        <v>327</v>
      </c>
      <c r="E54" s="4" t="s">
        <v>245</v>
      </c>
      <c r="F54" s="4"/>
      <c r="G54" s="6" t="s">
        <v>419</v>
      </c>
      <c r="H54" s="53">
        <v>4136.7</v>
      </c>
      <c r="I54" s="53"/>
      <c r="J54" s="53">
        <v>0</v>
      </c>
      <c r="K54" s="53"/>
      <c r="L54" s="83"/>
    </row>
    <row r="55" spans="1:12" s="49" customFormat="1" ht="15">
      <c r="A55" s="47" t="s">
        <v>190</v>
      </c>
      <c r="B55" s="3" t="s">
        <v>332</v>
      </c>
      <c r="C55" s="3" t="s">
        <v>259</v>
      </c>
      <c r="D55" s="3" t="s">
        <v>326</v>
      </c>
      <c r="E55" s="3"/>
      <c r="F55" s="3"/>
      <c r="G55" s="5"/>
      <c r="H55" s="48">
        <f>H56+H67+H61+H59</f>
        <v>39311.5</v>
      </c>
      <c r="I55" s="79">
        <f>I56+I67+I61+I59</f>
        <v>5809.599999999999</v>
      </c>
      <c r="J55" s="48">
        <f>J56+J67+J61+J59</f>
        <v>35810.49999999999</v>
      </c>
      <c r="K55" s="48">
        <f>K56+K67+K61+K59</f>
        <v>5809.599999999999</v>
      </c>
      <c r="L55" s="63">
        <f>J55/H55*100</f>
        <v>91.09420907368072</v>
      </c>
    </row>
    <row r="56" spans="1:12" s="49" customFormat="1" ht="15">
      <c r="A56" s="2" t="s">
        <v>187</v>
      </c>
      <c r="B56" s="4" t="s">
        <v>332</v>
      </c>
      <c r="C56" s="4" t="s">
        <v>259</v>
      </c>
      <c r="D56" s="4" t="s">
        <v>326</v>
      </c>
      <c r="E56" s="4" t="s">
        <v>270</v>
      </c>
      <c r="F56" s="4"/>
      <c r="G56" s="6"/>
      <c r="H56" s="53">
        <f>H58+H57</f>
        <v>1042</v>
      </c>
      <c r="I56" s="53">
        <f>I58+I57</f>
        <v>0</v>
      </c>
      <c r="J56" s="53">
        <f>J58+J57</f>
        <v>773.6</v>
      </c>
      <c r="K56" s="53">
        <f>K58+K57</f>
        <v>0</v>
      </c>
      <c r="L56" s="63"/>
    </row>
    <row r="57" spans="1:12" s="49" customFormat="1" ht="32.25" customHeight="1">
      <c r="A57" s="2" t="s">
        <v>431</v>
      </c>
      <c r="B57" s="4" t="s">
        <v>332</v>
      </c>
      <c r="C57" s="4" t="s">
        <v>259</v>
      </c>
      <c r="D57" s="4" t="s">
        <v>326</v>
      </c>
      <c r="E57" s="4" t="s">
        <v>270</v>
      </c>
      <c r="F57" s="4"/>
      <c r="G57" s="6" t="s">
        <v>421</v>
      </c>
      <c r="H57" s="53">
        <f>460+200</f>
        <v>660</v>
      </c>
      <c r="I57" s="53"/>
      <c r="J57" s="53">
        <v>392.5</v>
      </c>
      <c r="K57" s="48"/>
      <c r="L57" s="63"/>
    </row>
    <row r="58" spans="1:12" s="49" customFormat="1" ht="18.75" customHeight="1">
      <c r="A58" s="2" t="s">
        <v>442</v>
      </c>
      <c r="B58" s="4" t="s">
        <v>332</v>
      </c>
      <c r="C58" s="4" t="s">
        <v>259</v>
      </c>
      <c r="D58" s="4" t="s">
        <v>326</v>
      </c>
      <c r="E58" s="4" t="s">
        <v>270</v>
      </c>
      <c r="F58" s="4"/>
      <c r="G58" s="6" t="s">
        <v>441</v>
      </c>
      <c r="H58" s="53">
        <f>136.4+223.6+22</f>
        <v>382</v>
      </c>
      <c r="I58" s="53"/>
      <c r="J58" s="53">
        <v>381.1</v>
      </c>
      <c r="K58" s="48"/>
      <c r="L58" s="63"/>
    </row>
    <row r="59" spans="1:12" s="49" customFormat="1" ht="18.75" customHeight="1">
      <c r="A59" s="2" t="s">
        <v>157</v>
      </c>
      <c r="B59" s="4" t="s">
        <v>332</v>
      </c>
      <c r="C59" s="4" t="s">
        <v>259</v>
      </c>
      <c r="D59" s="4" t="s">
        <v>326</v>
      </c>
      <c r="E59" s="4" t="s">
        <v>353</v>
      </c>
      <c r="F59" s="4"/>
      <c r="G59" s="6"/>
      <c r="H59" s="53">
        <f>H60</f>
        <v>1000</v>
      </c>
      <c r="I59" s="53">
        <f>I60</f>
        <v>0</v>
      </c>
      <c r="J59" s="53">
        <f>J60</f>
        <v>1000</v>
      </c>
      <c r="K59" s="53">
        <f>K60</f>
        <v>0</v>
      </c>
      <c r="L59" s="63"/>
    </row>
    <row r="60" spans="1:12" s="49" customFormat="1" ht="48" customHeight="1">
      <c r="A60" s="2" t="s">
        <v>429</v>
      </c>
      <c r="B60" s="4" t="s">
        <v>332</v>
      </c>
      <c r="C60" s="4" t="s">
        <v>259</v>
      </c>
      <c r="D60" s="4" t="s">
        <v>326</v>
      </c>
      <c r="E60" s="4" t="s">
        <v>353</v>
      </c>
      <c r="F60" s="4"/>
      <c r="G60" s="6" t="s">
        <v>402</v>
      </c>
      <c r="H60" s="53">
        <v>1000</v>
      </c>
      <c r="I60" s="53"/>
      <c r="J60" s="53">
        <v>1000</v>
      </c>
      <c r="K60" s="48"/>
      <c r="L60" s="63"/>
    </row>
    <row r="61" spans="1:12" s="49" customFormat="1" ht="18.75" customHeight="1">
      <c r="A61" s="2" t="s">
        <v>530</v>
      </c>
      <c r="B61" s="4" t="s">
        <v>332</v>
      </c>
      <c r="C61" s="4" t="s">
        <v>259</v>
      </c>
      <c r="D61" s="4" t="s">
        <v>326</v>
      </c>
      <c r="E61" s="4" t="s">
        <v>528</v>
      </c>
      <c r="F61" s="4"/>
      <c r="G61" s="6"/>
      <c r="H61" s="53">
        <f>H62</f>
        <v>5809.599999999999</v>
      </c>
      <c r="I61" s="53">
        <f>I62</f>
        <v>5809.599999999999</v>
      </c>
      <c r="J61" s="53">
        <f>J62</f>
        <v>5809.599999999999</v>
      </c>
      <c r="K61" s="53">
        <f>K62</f>
        <v>5809.599999999999</v>
      </c>
      <c r="L61" s="63"/>
    </row>
    <row r="62" spans="1:12" s="49" customFormat="1" ht="86.25">
      <c r="A62" s="2" t="s">
        <v>123</v>
      </c>
      <c r="B62" s="4" t="s">
        <v>332</v>
      </c>
      <c r="C62" s="4" t="s">
        <v>259</v>
      </c>
      <c r="D62" s="4" t="s">
        <v>326</v>
      </c>
      <c r="E62" s="4" t="s">
        <v>71</v>
      </c>
      <c r="F62" s="4"/>
      <c r="G62" s="6"/>
      <c r="H62" s="53">
        <f>H64+H66</f>
        <v>5809.599999999999</v>
      </c>
      <c r="I62" s="53">
        <f>I64+I66</f>
        <v>5809.599999999999</v>
      </c>
      <c r="J62" s="53">
        <f>J64+J66</f>
        <v>5809.599999999999</v>
      </c>
      <c r="K62" s="53">
        <f>K64+K66</f>
        <v>5809.599999999999</v>
      </c>
      <c r="L62" s="63"/>
    </row>
    <row r="63" spans="1:12" s="49" customFormat="1" ht="56.25" customHeight="1">
      <c r="A63" s="2" t="s">
        <v>129</v>
      </c>
      <c r="B63" s="4" t="s">
        <v>332</v>
      </c>
      <c r="C63" s="4" t="s">
        <v>259</v>
      </c>
      <c r="D63" s="4" t="s">
        <v>326</v>
      </c>
      <c r="E63" s="4" t="s">
        <v>76</v>
      </c>
      <c r="F63" s="4"/>
      <c r="G63" s="6"/>
      <c r="H63" s="53">
        <f>H64</f>
        <v>5021.9</v>
      </c>
      <c r="I63" s="53">
        <f>I64</f>
        <v>5021.9</v>
      </c>
      <c r="J63" s="53">
        <f>J64</f>
        <v>5021.9</v>
      </c>
      <c r="K63" s="53">
        <f>K64</f>
        <v>5021.9</v>
      </c>
      <c r="L63" s="63"/>
    </row>
    <row r="64" spans="1:12" s="49" customFormat="1" ht="33" customHeight="1">
      <c r="A64" s="7" t="s">
        <v>432</v>
      </c>
      <c r="B64" s="4" t="s">
        <v>332</v>
      </c>
      <c r="C64" s="4" t="s">
        <v>259</v>
      </c>
      <c r="D64" s="4" t="s">
        <v>326</v>
      </c>
      <c r="E64" s="4" t="s">
        <v>76</v>
      </c>
      <c r="F64" s="4"/>
      <c r="G64" s="6" t="s">
        <v>424</v>
      </c>
      <c r="H64" s="53">
        <v>5021.9</v>
      </c>
      <c r="I64" s="53">
        <v>5021.9</v>
      </c>
      <c r="J64" s="53">
        <v>5021.9</v>
      </c>
      <c r="K64" s="53">
        <v>5021.9</v>
      </c>
      <c r="L64" s="63"/>
    </row>
    <row r="65" spans="1:12" s="49" customFormat="1" ht="36.75" customHeight="1">
      <c r="A65" s="7" t="s">
        <v>78</v>
      </c>
      <c r="B65" s="4" t="s">
        <v>332</v>
      </c>
      <c r="C65" s="4" t="s">
        <v>259</v>
      </c>
      <c r="D65" s="4" t="s">
        <v>326</v>
      </c>
      <c r="E65" s="4" t="s">
        <v>75</v>
      </c>
      <c r="F65" s="4"/>
      <c r="G65" s="6"/>
      <c r="H65" s="53">
        <f>H66</f>
        <v>787.7</v>
      </c>
      <c r="I65" s="53">
        <f>I66</f>
        <v>787.7</v>
      </c>
      <c r="J65" s="53">
        <f>J66</f>
        <v>787.7</v>
      </c>
      <c r="K65" s="53">
        <f>K66</f>
        <v>787.7</v>
      </c>
      <c r="L65" s="63"/>
    </row>
    <row r="66" spans="1:12" s="49" customFormat="1" ht="30" customHeight="1">
      <c r="A66" s="2" t="s">
        <v>431</v>
      </c>
      <c r="B66" s="4" t="s">
        <v>332</v>
      </c>
      <c r="C66" s="4" t="s">
        <v>259</v>
      </c>
      <c r="D66" s="4" t="s">
        <v>326</v>
      </c>
      <c r="E66" s="4" t="s">
        <v>75</v>
      </c>
      <c r="F66" s="4"/>
      <c r="G66" s="6" t="s">
        <v>421</v>
      </c>
      <c r="H66" s="53">
        <v>787.7</v>
      </c>
      <c r="I66" s="53">
        <v>787.7</v>
      </c>
      <c r="J66" s="53">
        <v>787.7</v>
      </c>
      <c r="K66" s="53">
        <v>787.7</v>
      </c>
      <c r="L66" s="63"/>
    </row>
    <row r="67" spans="1:12" ht="14.25">
      <c r="A67" s="2" t="s">
        <v>223</v>
      </c>
      <c r="B67" s="4" t="s">
        <v>332</v>
      </c>
      <c r="C67" s="4" t="s">
        <v>259</v>
      </c>
      <c r="D67" s="4" t="s">
        <v>326</v>
      </c>
      <c r="E67" s="4" t="s">
        <v>224</v>
      </c>
      <c r="F67" s="4"/>
      <c r="G67" s="6"/>
      <c r="H67" s="53">
        <f>H68+H74</f>
        <v>31459.899999999998</v>
      </c>
      <c r="I67" s="53">
        <f>I68+I74</f>
        <v>0</v>
      </c>
      <c r="J67" s="53">
        <f>J68+J74</f>
        <v>28227.299999999996</v>
      </c>
      <c r="K67" s="53">
        <f>K68+K74</f>
        <v>0</v>
      </c>
      <c r="L67" s="83"/>
    </row>
    <row r="68" spans="1:12" ht="42.75">
      <c r="A68" s="2" t="s">
        <v>345</v>
      </c>
      <c r="B68" s="4" t="s">
        <v>332</v>
      </c>
      <c r="C68" s="4" t="s">
        <v>259</v>
      </c>
      <c r="D68" s="4" t="s">
        <v>326</v>
      </c>
      <c r="E68" s="4" t="s">
        <v>277</v>
      </c>
      <c r="F68" s="4"/>
      <c r="G68" s="6"/>
      <c r="H68" s="53">
        <f>H70+H71</f>
        <v>24953.399999999998</v>
      </c>
      <c r="I68" s="53">
        <f>I70+I71</f>
        <v>0</v>
      </c>
      <c r="J68" s="53">
        <f>J70+J71</f>
        <v>22070.199999999997</v>
      </c>
      <c r="K68" s="53">
        <f>K70+K71</f>
        <v>0</v>
      </c>
      <c r="L68" s="83"/>
    </row>
    <row r="69" spans="1:12" ht="14.25">
      <c r="A69" s="2" t="s">
        <v>551</v>
      </c>
      <c r="B69" s="4" t="s">
        <v>332</v>
      </c>
      <c r="C69" s="4" t="s">
        <v>259</v>
      </c>
      <c r="D69" s="4" t="s">
        <v>326</v>
      </c>
      <c r="E69" s="4" t="s">
        <v>277</v>
      </c>
      <c r="F69" s="4"/>
      <c r="G69" s="6" t="s">
        <v>393</v>
      </c>
      <c r="H69" s="53">
        <f>H70</f>
        <v>19080.899999999998</v>
      </c>
      <c r="I69" s="53"/>
      <c r="J69" s="53">
        <f>J70</f>
        <v>17040.8</v>
      </c>
      <c r="K69" s="53"/>
      <c r="L69" s="83"/>
    </row>
    <row r="70" spans="1:12" ht="28.5">
      <c r="A70" s="2" t="s">
        <v>417</v>
      </c>
      <c r="B70" s="4" t="s">
        <v>332</v>
      </c>
      <c r="C70" s="4" t="s">
        <v>259</v>
      </c>
      <c r="D70" s="4" t="s">
        <v>326</v>
      </c>
      <c r="E70" s="4" t="s">
        <v>277</v>
      </c>
      <c r="F70" s="4"/>
      <c r="G70" s="6" t="s">
        <v>416</v>
      </c>
      <c r="H70" s="53">
        <f>22631.1-3550.2</f>
        <v>19080.899999999998</v>
      </c>
      <c r="I70" s="53"/>
      <c r="J70" s="53">
        <v>17040.8</v>
      </c>
      <c r="K70" s="53"/>
      <c r="L70" s="83"/>
    </row>
    <row r="71" spans="1:12" ht="28.5">
      <c r="A71" s="2" t="s">
        <v>599</v>
      </c>
      <c r="B71" s="4" t="s">
        <v>332</v>
      </c>
      <c r="C71" s="4" t="s">
        <v>259</v>
      </c>
      <c r="D71" s="4" t="s">
        <v>326</v>
      </c>
      <c r="E71" s="4" t="s">
        <v>277</v>
      </c>
      <c r="F71" s="4"/>
      <c r="G71" s="6" t="s">
        <v>526</v>
      </c>
      <c r="H71" s="53">
        <f>H72+H73</f>
        <v>5872.5</v>
      </c>
      <c r="I71" s="53">
        <f>I72+I73</f>
        <v>0</v>
      </c>
      <c r="J71" s="53">
        <f>J72+J73</f>
        <v>5029.4</v>
      </c>
      <c r="K71" s="53">
        <f>K72+K73</f>
        <v>0</v>
      </c>
      <c r="L71" s="83"/>
    </row>
    <row r="72" spans="1:12" ht="28.5">
      <c r="A72" s="2" t="s">
        <v>440</v>
      </c>
      <c r="B72" s="4" t="s">
        <v>332</v>
      </c>
      <c r="C72" s="4" t="s">
        <v>259</v>
      </c>
      <c r="D72" s="4" t="s">
        <v>326</v>
      </c>
      <c r="E72" s="4" t="s">
        <v>277</v>
      </c>
      <c r="F72" s="4"/>
      <c r="G72" s="6" t="s">
        <v>437</v>
      </c>
      <c r="H72" s="53">
        <f>3990-68</f>
        <v>3922</v>
      </c>
      <c r="I72" s="53"/>
      <c r="J72" s="53">
        <v>3295.9</v>
      </c>
      <c r="K72" s="53"/>
      <c r="L72" s="83"/>
    </row>
    <row r="73" spans="1:12" ht="33" customHeight="1">
      <c r="A73" s="2" t="s">
        <v>431</v>
      </c>
      <c r="B73" s="4" t="s">
        <v>332</v>
      </c>
      <c r="C73" s="4" t="s">
        <v>259</v>
      </c>
      <c r="D73" s="4" t="s">
        <v>326</v>
      </c>
      <c r="E73" s="4" t="s">
        <v>277</v>
      </c>
      <c r="F73" s="4"/>
      <c r="G73" s="6" t="s">
        <v>421</v>
      </c>
      <c r="H73" s="53">
        <f>5872.5-3990+68</f>
        <v>1950.5</v>
      </c>
      <c r="I73" s="53"/>
      <c r="J73" s="53">
        <v>1733.5</v>
      </c>
      <c r="K73" s="53"/>
      <c r="L73" s="83"/>
    </row>
    <row r="74" spans="1:12" ht="93.75" customHeight="1">
      <c r="A74" s="1" t="s">
        <v>454</v>
      </c>
      <c r="B74" s="4" t="s">
        <v>332</v>
      </c>
      <c r="C74" s="4" t="s">
        <v>259</v>
      </c>
      <c r="D74" s="4" t="s">
        <v>326</v>
      </c>
      <c r="E74" s="4" t="s">
        <v>346</v>
      </c>
      <c r="F74" s="4"/>
      <c r="G74" s="6"/>
      <c r="H74" s="53">
        <f>H75+H76+H78+H77</f>
        <v>6506.500000000001</v>
      </c>
      <c r="I74" s="53">
        <f>I75+I76+I78+I77</f>
        <v>0</v>
      </c>
      <c r="J74" s="53">
        <f>J75+J76+J78+J77</f>
        <v>6157.1</v>
      </c>
      <c r="K74" s="53">
        <f>K75+K76+K78+K77</f>
        <v>0</v>
      </c>
      <c r="L74" s="83"/>
    </row>
    <row r="75" spans="1:12" ht="32.25" customHeight="1">
      <c r="A75" s="2" t="s">
        <v>431</v>
      </c>
      <c r="B75" s="4" t="s">
        <v>332</v>
      </c>
      <c r="C75" s="4" t="s">
        <v>259</v>
      </c>
      <c r="D75" s="4" t="s">
        <v>326</v>
      </c>
      <c r="E75" s="4" t="s">
        <v>346</v>
      </c>
      <c r="F75" s="4"/>
      <c r="G75" s="6" t="s">
        <v>421</v>
      </c>
      <c r="H75" s="53">
        <v>5723.6</v>
      </c>
      <c r="I75" s="53"/>
      <c r="J75" s="53">
        <v>5380.8</v>
      </c>
      <c r="K75" s="53"/>
      <c r="L75" s="83"/>
    </row>
    <row r="76" spans="1:12" ht="15.75" customHeight="1">
      <c r="A76" s="2" t="s">
        <v>86</v>
      </c>
      <c r="B76" s="4" t="s">
        <v>332</v>
      </c>
      <c r="C76" s="4" t="s">
        <v>259</v>
      </c>
      <c r="D76" s="4" t="s">
        <v>326</v>
      </c>
      <c r="E76" s="4" t="s">
        <v>346</v>
      </c>
      <c r="F76" s="4"/>
      <c r="G76" s="6" t="s">
        <v>85</v>
      </c>
      <c r="H76" s="53">
        <v>365.3</v>
      </c>
      <c r="I76" s="53"/>
      <c r="J76" s="53">
        <v>365.3</v>
      </c>
      <c r="K76" s="53"/>
      <c r="L76" s="83"/>
    </row>
    <row r="77" spans="1:12" ht="15.75" customHeight="1">
      <c r="A77" s="7" t="s">
        <v>399</v>
      </c>
      <c r="B77" s="4" t="s">
        <v>332</v>
      </c>
      <c r="C77" s="4" t="s">
        <v>259</v>
      </c>
      <c r="D77" s="4" t="s">
        <v>326</v>
      </c>
      <c r="E77" s="4" t="s">
        <v>346</v>
      </c>
      <c r="F77" s="4"/>
      <c r="G77" s="6" t="s">
        <v>398</v>
      </c>
      <c r="H77" s="53">
        <v>160</v>
      </c>
      <c r="I77" s="53"/>
      <c r="J77" s="53">
        <v>160</v>
      </c>
      <c r="K77" s="53"/>
      <c r="L77" s="83"/>
    </row>
    <row r="78" spans="1:12" ht="18" customHeight="1">
      <c r="A78" s="2" t="s">
        <v>426</v>
      </c>
      <c r="B78" s="4" t="s">
        <v>332</v>
      </c>
      <c r="C78" s="4" t="s">
        <v>259</v>
      </c>
      <c r="D78" s="4" t="s">
        <v>326</v>
      </c>
      <c r="E78" s="4" t="s">
        <v>346</v>
      </c>
      <c r="F78" s="4"/>
      <c r="G78" s="6" t="s">
        <v>425</v>
      </c>
      <c r="H78" s="53">
        <v>257.6</v>
      </c>
      <c r="I78" s="53"/>
      <c r="J78" s="53">
        <v>251</v>
      </c>
      <c r="K78" s="53"/>
      <c r="L78" s="83"/>
    </row>
    <row r="79" spans="1:12" ht="15">
      <c r="A79" s="47" t="s">
        <v>191</v>
      </c>
      <c r="B79" s="3" t="s">
        <v>332</v>
      </c>
      <c r="C79" s="3" t="s">
        <v>260</v>
      </c>
      <c r="D79" s="3"/>
      <c r="E79" s="3"/>
      <c r="F79" s="3"/>
      <c r="G79" s="5"/>
      <c r="H79" s="48">
        <f>H80+H88</f>
        <v>5136</v>
      </c>
      <c r="I79" s="48">
        <f>I80+I88</f>
        <v>4948</v>
      </c>
      <c r="J79" s="48">
        <f>J80+J88</f>
        <v>5056.099999999999</v>
      </c>
      <c r="K79" s="48">
        <f>K80+K88</f>
        <v>4944.7</v>
      </c>
      <c r="L79" s="63">
        <f>J79/H79*100</f>
        <v>98.44431464174454</v>
      </c>
    </row>
    <row r="80" spans="1:12" ht="15">
      <c r="A80" s="47" t="s">
        <v>400</v>
      </c>
      <c r="B80" s="4" t="s">
        <v>332</v>
      </c>
      <c r="C80" s="4" t="s">
        <v>260</v>
      </c>
      <c r="D80" s="4" t="s">
        <v>264</v>
      </c>
      <c r="E80" s="3"/>
      <c r="F80" s="3"/>
      <c r="G80" s="5"/>
      <c r="H80" s="53">
        <f>H81</f>
        <v>4948</v>
      </c>
      <c r="I80" s="53">
        <f aca="true" t="shared" si="5" ref="I80:K81">I81</f>
        <v>4948</v>
      </c>
      <c r="J80" s="53">
        <f t="shared" si="5"/>
        <v>4944.7</v>
      </c>
      <c r="K80" s="53">
        <f t="shared" si="5"/>
        <v>4944.7</v>
      </c>
      <c r="L80" s="83"/>
    </row>
    <row r="81" spans="1:12" ht="15">
      <c r="A81" s="2" t="s">
        <v>358</v>
      </c>
      <c r="B81" s="4" t="s">
        <v>332</v>
      </c>
      <c r="C81" s="4" t="s">
        <v>260</v>
      </c>
      <c r="D81" s="4" t="s">
        <v>264</v>
      </c>
      <c r="E81" s="4" t="s">
        <v>359</v>
      </c>
      <c r="F81" s="3"/>
      <c r="G81" s="5"/>
      <c r="H81" s="53">
        <f>H82</f>
        <v>4948</v>
      </c>
      <c r="I81" s="53">
        <f t="shared" si="5"/>
        <v>4948</v>
      </c>
      <c r="J81" s="53">
        <f t="shared" si="5"/>
        <v>4944.7</v>
      </c>
      <c r="K81" s="53">
        <f t="shared" si="5"/>
        <v>4944.7</v>
      </c>
      <c r="L81" s="83"/>
    </row>
    <row r="82" spans="1:12" ht="29.25">
      <c r="A82" s="2" t="s">
        <v>362</v>
      </c>
      <c r="B82" s="4" t="s">
        <v>332</v>
      </c>
      <c r="C82" s="4" t="s">
        <v>260</v>
      </c>
      <c r="D82" s="4" t="s">
        <v>264</v>
      </c>
      <c r="E82" s="4" t="s">
        <v>361</v>
      </c>
      <c r="F82" s="3"/>
      <c r="G82" s="5"/>
      <c r="H82" s="53">
        <f>H83+H85</f>
        <v>4948</v>
      </c>
      <c r="I82" s="53">
        <f>I83+I85</f>
        <v>4948</v>
      </c>
      <c r="J82" s="53">
        <f>J83+J85</f>
        <v>4944.7</v>
      </c>
      <c r="K82" s="53">
        <f>K83+K85</f>
        <v>4944.7</v>
      </c>
      <c r="L82" s="83"/>
    </row>
    <row r="83" spans="1:12" ht="15">
      <c r="A83" s="2" t="s">
        <v>551</v>
      </c>
      <c r="B83" s="4" t="s">
        <v>332</v>
      </c>
      <c r="C83" s="4" t="s">
        <v>260</v>
      </c>
      <c r="D83" s="4" t="s">
        <v>264</v>
      </c>
      <c r="E83" s="4" t="s">
        <v>361</v>
      </c>
      <c r="F83" s="3"/>
      <c r="G83" s="6" t="s">
        <v>393</v>
      </c>
      <c r="H83" s="53">
        <f>H84</f>
        <v>4788.7</v>
      </c>
      <c r="I83" s="53">
        <f>I84</f>
        <v>4788.7</v>
      </c>
      <c r="J83" s="53">
        <f>J84</f>
        <v>4788.7</v>
      </c>
      <c r="K83" s="53">
        <f>K84</f>
        <v>4788.7</v>
      </c>
      <c r="L83" s="83"/>
    </row>
    <row r="84" spans="1:12" ht="15">
      <c r="A84" s="2" t="s">
        <v>415</v>
      </c>
      <c r="B84" s="4" t="s">
        <v>332</v>
      </c>
      <c r="C84" s="4" t="s">
        <v>260</v>
      </c>
      <c r="D84" s="4" t="s">
        <v>264</v>
      </c>
      <c r="E84" s="4" t="s">
        <v>361</v>
      </c>
      <c r="F84" s="3"/>
      <c r="G84" s="6" t="s">
        <v>414</v>
      </c>
      <c r="H84" s="53">
        <f>4948-100.7-267.4+159.9+48.9</f>
        <v>4788.7</v>
      </c>
      <c r="I84" s="53">
        <f>4948-100.7-267.4+159.9+48.9</f>
        <v>4788.7</v>
      </c>
      <c r="J84" s="53">
        <v>4788.7</v>
      </c>
      <c r="K84" s="53">
        <v>4788.7</v>
      </c>
      <c r="L84" s="83"/>
    </row>
    <row r="85" spans="1:12" ht="29.25">
      <c r="A85" s="2" t="s">
        <v>599</v>
      </c>
      <c r="B85" s="4" t="s">
        <v>332</v>
      </c>
      <c r="C85" s="4" t="s">
        <v>260</v>
      </c>
      <c r="D85" s="4" t="s">
        <v>264</v>
      </c>
      <c r="E85" s="4" t="s">
        <v>361</v>
      </c>
      <c r="F85" s="3"/>
      <c r="G85" s="6" t="s">
        <v>526</v>
      </c>
      <c r="H85" s="53">
        <f>H86+H87</f>
        <v>159.29999999999998</v>
      </c>
      <c r="I85" s="53">
        <f>I86+I87</f>
        <v>159.29999999999998</v>
      </c>
      <c r="J85" s="53">
        <f>J86+J87</f>
        <v>156</v>
      </c>
      <c r="K85" s="53">
        <f>K86+K87</f>
        <v>156</v>
      </c>
      <c r="L85" s="83"/>
    </row>
    <row r="86" spans="1:12" ht="29.25">
      <c r="A86" s="2" t="s">
        <v>440</v>
      </c>
      <c r="B86" s="4" t="s">
        <v>332</v>
      </c>
      <c r="C86" s="4" t="s">
        <v>260</v>
      </c>
      <c r="D86" s="4" t="s">
        <v>264</v>
      </c>
      <c r="E86" s="4" t="s">
        <v>361</v>
      </c>
      <c r="F86" s="3"/>
      <c r="G86" s="6" t="s">
        <v>437</v>
      </c>
      <c r="H86" s="53">
        <v>54.1</v>
      </c>
      <c r="I86" s="53">
        <v>54.1</v>
      </c>
      <c r="J86" s="53">
        <v>50.8</v>
      </c>
      <c r="K86" s="53">
        <v>50.8</v>
      </c>
      <c r="L86" s="83"/>
    </row>
    <row r="87" spans="1:12" ht="33" customHeight="1">
      <c r="A87" s="2" t="s">
        <v>431</v>
      </c>
      <c r="B87" s="4" t="s">
        <v>332</v>
      </c>
      <c r="C87" s="4" t="s">
        <v>260</v>
      </c>
      <c r="D87" s="4" t="s">
        <v>264</v>
      </c>
      <c r="E87" s="4" t="s">
        <v>361</v>
      </c>
      <c r="F87" s="3"/>
      <c r="G87" s="6" t="s">
        <v>421</v>
      </c>
      <c r="H87" s="53">
        <f>64.7+241.2-159.9-40.8</f>
        <v>105.19999999999997</v>
      </c>
      <c r="I87" s="53">
        <f>64.7+241.2-159.9-40.8</f>
        <v>105.19999999999997</v>
      </c>
      <c r="J87" s="53">
        <v>105.2</v>
      </c>
      <c r="K87" s="53">
        <v>105.2</v>
      </c>
      <c r="L87" s="83"/>
    </row>
    <row r="88" spans="1:12" ht="15">
      <c r="A88" s="47" t="s">
        <v>192</v>
      </c>
      <c r="B88" s="4" t="s">
        <v>332</v>
      </c>
      <c r="C88" s="4" t="s">
        <v>260</v>
      </c>
      <c r="D88" s="4" t="s">
        <v>261</v>
      </c>
      <c r="E88" s="4"/>
      <c r="F88" s="4"/>
      <c r="G88" s="6"/>
      <c r="H88" s="53">
        <f>H89</f>
        <v>188</v>
      </c>
      <c r="I88" s="53">
        <f aca="true" t="shared" si="6" ref="I88:K90">I89</f>
        <v>0</v>
      </c>
      <c r="J88" s="53">
        <f t="shared" si="6"/>
        <v>111.4</v>
      </c>
      <c r="K88" s="53">
        <f t="shared" si="6"/>
        <v>0</v>
      </c>
      <c r="L88" s="83"/>
    </row>
    <row r="89" spans="1:12" ht="33" customHeight="1">
      <c r="A89" s="2" t="s">
        <v>207</v>
      </c>
      <c r="B89" s="4" t="s">
        <v>332</v>
      </c>
      <c r="C89" s="4" t="s">
        <v>260</v>
      </c>
      <c r="D89" s="4" t="s">
        <v>261</v>
      </c>
      <c r="E89" s="4" t="s">
        <v>193</v>
      </c>
      <c r="F89" s="4"/>
      <c r="G89" s="6"/>
      <c r="H89" s="53">
        <f>H90</f>
        <v>188</v>
      </c>
      <c r="I89" s="53">
        <f t="shared" si="6"/>
        <v>0</v>
      </c>
      <c r="J89" s="53">
        <f t="shared" si="6"/>
        <v>111.4</v>
      </c>
      <c r="K89" s="53">
        <f t="shared" si="6"/>
        <v>0</v>
      </c>
      <c r="L89" s="83"/>
    </row>
    <row r="90" spans="1:12" ht="30" customHeight="1">
      <c r="A90" s="2" t="s">
        <v>211</v>
      </c>
      <c r="B90" s="4" t="s">
        <v>332</v>
      </c>
      <c r="C90" s="4" t="s">
        <v>260</v>
      </c>
      <c r="D90" s="4" t="s">
        <v>261</v>
      </c>
      <c r="E90" s="4" t="s">
        <v>246</v>
      </c>
      <c r="F90" s="4"/>
      <c r="G90" s="6"/>
      <c r="H90" s="53">
        <f>H91</f>
        <v>188</v>
      </c>
      <c r="I90" s="53">
        <f t="shared" si="6"/>
        <v>0</v>
      </c>
      <c r="J90" s="53">
        <f t="shared" si="6"/>
        <v>111.4</v>
      </c>
      <c r="K90" s="53">
        <f t="shared" si="6"/>
        <v>0</v>
      </c>
      <c r="L90" s="83"/>
    </row>
    <row r="91" spans="1:12" ht="38.25" customHeight="1">
      <c r="A91" s="2" t="s">
        <v>599</v>
      </c>
      <c r="B91" s="4" t="s">
        <v>332</v>
      </c>
      <c r="C91" s="4" t="s">
        <v>260</v>
      </c>
      <c r="D91" s="4" t="s">
        <v>261</v>
      </c>
      <c r="E91" s="4" t="s">
        <v>246</v>
      </c>
      <c r="F91" s="4"/>
      <c r="G91" s="6" t="s">
        <v>526</v>
      </c>
      <c r="H91" s="53">
        <f>H92+H93</f>
        <v>188</v>
      </c>
      <c r="I91" s="53">
        <f>I92+I93</f>
        <v>0</v>
      </c>
      <c r="J91" s="53">
        <f>J92+J93</f>
        <v>111.4</v>
      </c>
      <c r="K91" s="53">
        <f>K92+K93</f>
        <v>0</v>
      </c>
      <c r="L91" s="83"/>
    </row>
    <row r="92" spans="1:12" ht="30" customHeight="1">
      <c r="A92" s="2" t="s">
        <v>440</v>
      </c>
      <c r="B92" s="4" t="s">
        <v>332</v>
      </c>
      <c r="C92" s="4" t="s">
        <v>260</v>
      </c>
      <c r="D92" s="4" t="s">
        <v>261</v>
      </c>
      <c r="E92" s="4" t="s">
        <v>246</v>
      </c>
      <c r="F92" s="4"/>
      <c r="G92" s="6" t="s">
        <v>437</v>
      </c>
      <c r="H92" s="53">
        <v>19.9</v>
      </c>
      <c r="I92" s="53"/>
      <c r="J92" s="53">
        <v>19.9</v>
      </c>
      <c r="K92" s="53"/>
      <c r="L92" s="83"/>
    </row>
    <row r="93" spans="1:12" ht="30" customHeight="1">
      <c r="A93" s="2" t="s">
        <v>431</v>
      </c>
      <c r="B93" s="4" t="s">
        <v>332</v>
      </c>
      <c r="C93" s="4" t="s">
        <v>260</v>
      </c>
      <c r="D93" s="4" t="s">
        <v>261</v>
      </c>
      <c r="E93" s="4" t="s">
        <v>246</v>
      </c>
      <c r="F93" s="4"/>
      <c r="G93" s="6" t="s">
        <v>421</v>
      </c>
      <c r="H93" s="53">
        <v>168.1</v>
      </c>
      <c r="I93" s="53"/>
      <c r="J93" s="53">
        <v>91.5</v>
      </c>
      <c r="K93" s="53"/>
      <c r="L93" s="83"/>
    </row>
    <row r="94" spans="1:12" ht="30">
      <c r="A94" s="47" t="s">
        <v>217</v>
      </c>
      <c r="B94" s="3" t="s">
        <v>332</v>
      </c>
      <c r="C94" s="3" t="s">
        <v>264</v>
      </c>
      <c r="D94" s="3"/>
      <c r="E94" s="3"/>
      <c r="F94" s="3"/>
      <c r="G94" s="6"/>
      <c r="H94" s="48">
        <f>H95+H106</f>
        <v>16221.599999999999</v>
      </c>
      <c r="I94" s="48">
        <f>I95+I106</f>
        <v>0</v>
      </c>
      <c r="J94" s="48">
        <f>J95+J106</f>
        <v>13289.800000000001</v>
      </c>
      <c r="K94" s="48">
        <f>K95+K106</f>
        <v>0</v>
      </c>
      <c r="L94" s="63">
        <f>J94/H94*100</f>
        <v>81.92656704640727</v>
      </c>
    </row>
    <row r="95" spans="1:12" ht="43.5" customHeight="1">
      <c r="A95" s="2" t="s">
        <v>247</v>
      </c>
      <c r="B95" s="4" t="s">
        <v>332</v>
      </c>
      <c r="C95" s="4" t="s">
        <v>264</v>
      </c>
      <c r="D95" s="4" t="s">
        <v>265</v>
      </c>
      <c r="E95" s="4"/>
      <c r="F95" s="4"/>
      <c r="G95" s="6"/>
      <c r="H95" s="53">
        <f>H96+H99</f>
        <v>12661.8</v>
      </c>
      <c r="I95" s="53">
        <f>I96+I99</f>
        <v>0</v>
      </c>
      <c r="J95" s="53">
        <f>J96+J99</f>
        <v>9822.400000000001</v>
      </c>
      <c r="K95" s="53">
        <f>K96+K99</f>
        <v>0</v>
      </c>
      <c r="L95" s="83"/>
    </row>
    <row r="96" spans="1:12" ht="36" customHeight="1">
      <c r="A96" s="2" t="s">
        <v>238</v>
      </c>
      <c r="B96" s="4" t="s">
        <v>332</v>
      </c>
      <c r="C96" s="4" t="s">
        <v>264</v>
      </c>
      <c r="D96" s="4" t="s">
        <v>265</v>
      </c>
      <c r="E96" s="4" t="s">
        <v>239</v>
      </c>
      <c r="F96" s="4" t="s">
        <v>175</v>
      </c>
      <c r="G96" s="6"/>
      <c r="H96" s="53">
        <f>H97</f>
        <v>5987.2</v>
      </c>
      <c r="I96" s="53">
        <f aca="true" t="shared" si="7" ref="I96:K97">I97</f>
        <v>0</v>
      </c>
      <c r="J96" s="53">
        <f t="shared" si="7"/>
        <v>3156.5</v>
      </c>
      <c r="K96" s="53">
        <f t="shared" si="7"/>
        <v>0</v>
      </c>
      <c r="L96" s="83"/>
    </row>
    <row r="97" spans="1:12" ht="42.75">
      <c r="A97" s="2" t="s">
        <v>240</v>
      </c>
      <c r="B97" s="4" t="s">
        <v>332</v>
      </c>
      <c r="C97" s="4" t="s">
        <v>264</v>
      </c>
      <c r="D97" s="4" t="s">
        <v>265</v>
      </c>
      <c r="E97" s="4" t="s">
        <v>248</v>
      </c>
      <c r="F97" s="4" t="s">
        <v>241</v>
      </c>
      <c r="G97" s="6"/>
      <c r="H97" s="53">
        <f>H98</f>
        <v>5987.2</v>
      </c>
      <c r="I97" s="53">
        <f t="shared" si="7"/>
        <v>0</v>
      </c>
      <c r="J97" s="53">
        <f t="shared" si="7"/>
        <v>3156.5</v>
      </c>
      <c r="K97" s="53">
        <f t="shared" si="7"/>
        <v>0</v>
      </c>
      <c r="L97" s="83"/>
    </row>
    <row r="98" spans="1:12" ht="33.75" customHeight="1">
      <c r="A98" s="2" t="s">
        <v>431</v>
      </c>
      <c r="B98" s="4" t="s">
        <v>332</v>
      </c>
      <c r="C98" s="4" t="s">
        <v>264</v>
      </c>
      <c r="D98" s="4" t="s">
        <v>265</v>
      </c>
      <c r="E98" s="4" t="s">
        <v>248</v>
      </c>
      <c r="F98" s="4"/>
      <c r="G98" s="6" t="s">
        <v>421</v>
      </c>
      <c r="H98" s="53">
        <f>1987.2+1000+3000</f>
        <v>5987.2</v>
      </c>
      <c r="I98" s="53"/>
      <c r="J98" s="53">
        <v>3156.5</v>
      </c>
      <c r="K98" s="53"/>
      <c r="L98" s="83"/>
    </row>
    <row r="99" spans="1:12" s="49" customFormat="1" ht="17.25" customHeight="1">
      <c r="A99" s="51" t="s">
        <v>455</v>
      </c>
      <c r="B99" s="4" t="s">
        <v>332</v>
      </c>
      <c r="C99" s="4" t="s">
        <v>264</v>
      </c>
      <c r="D99" s="4" t="s">
        <v>265</v>
      </c>
      <c r="E99" s="52" t="s">
        <v>444</v>
      </c>
      <c r="F99" s="4"/>
      <c r="G99" s="6"/>
      <c r="H99" s="53">
        <f>H100</f>
        <v>6674.599999999999</v>
      </c>
      <c r="I99" s="53">
        <f>I100</f>
        <v>0</v>
      </c>
      <c r="J99" s="53">
        <f>J100</f>
        <v>6665.900000000001</v>
      </c>
      <c r="K99" s="53">
        <f>K100</f>
        <v>0</v>
      </c>
      <c r="L99" s="63"/>
    </row>
    <row r="100" spans="1:12" s="49" customFormat="1" ht="33" customHeight="1">
      <c r="A100" s="2" t="s">
        <v>157</v>
      </c>
      <c r="B100" s="4" t="s">
        <v>332</v>
      </c>
      <c r="C100" s="4" t="s">
        <v>264</v>
      </c>
      <c r="D100" s="4" t="s">
        <v>265</v>
      </c>
      <c r="E100" s="52" t="s">
        <v>445</v>
      </c>
      <c r="F100" s="4"/>
      <c r="G100" s="6"/>
      <c r="H100" s="53">
        <f>H101+H103</f>
        <v>6674.599999999999</v>
      </c>
      <c r="I100" s="53">
        <f>I101+I103</f>
        <v>0</v>
      </c>
      <c r="J100" s="53">
        <f>J101+J103</f>
        <v>6665.900000000001</v>
      </c>
      <c r="K100" s="53">
        <f>K101+K103</f>
        <v>0</v>
      </c>
      <c r="L100" s="63"/>
    </row>
    <row r="101" spans="1:12" s="49" customFormat="1" ht="20.25" customHeight="1">
      <c r="A101" s="2" t="s">
        <v>555</v>
      </c>
      <c r="B101" s="4" t="s">
        <v>332</v>
      </c>
      <c r="C101" s="4" t="s">
        <v>264</v>
      </c>
      <c r="D101" s="4" t="s">
        <v>265</v>
      </c>
      <c r="E101" s="52" t="s">
        <v>445</v>
      </c>
      <c r="F101" s="4"/>
      <c r="G101" s="6" t="s">
        <v>534</v>
      </c>
      <c r="H101" s="53">
        <f>H102</f>
        <v>5734.7</v>
      </c>
      <c r="I101" s="53">
        <f>I102</f>
        <v>0</v>
      </c>
      <c r="J101" s="53">
        <f>J102</f>
        <v>5734.6</v>
      </c>
      <c r="K101" s="53">
        <f>K102</f>
        <v>0</v>
      </c>
      <c r="L101" s="63"/>
    </row>
    <row r="102" spans="1:12" s="49" customFormat="1" ht="15" customHeight="1">
      <c r="A102" s="2" t="s">
        <v>415</v>
      </c>
      <c r="B102" s="4" t="s">
        <v>332</v>
      </c>
      <c r="C102" s="4" t="s">
        <v>264</v>
      </c>
      <c r="D102" s="4" t="s">
        <v>265</v>
      </c>
      <c r="E102" s="52" t="s">
        <v>445</v>
      </c>
      <c r="F102" s="4"/>
      <c r="G102" s="6" t="s">
        <v>443</v>
      </c>
      <c r="H102" s="53">
        <v>5734.7</v>
      </c>
      <c r="I102" s="48"/>
      <c r="J102" s="53">
        <v>5734.6</v>
      </c>
      <c r="K102" s="48"/>
      <c r="L102" s="63"/>
    </row>
    <row r="103" spans="1:12" s="49" customFormat="1" ht="33.75" customHeight="1">
      <c r="A103" s="2" t="s">
        <v>599</v>
      </c>
      <c r="B103" s="4" t="s">
        <v>332</v>
      </c>
      <c r="C103" s="4" t="s">
        <v>264</v>
      </c>
      <c r="D103" s="4" t="s">
        <v>265</v>
      </c>
      <c r="E103" s="52" t="s">
        <v>445</v>
      </c>
      <c r="F103" s="4"/>
      <c r="G103" s="6" t="s">
        <v>526</v>
      </c>
      <c r="H103" s="53">
        <f>H104+H105</f>
        <v>939.9</v>
      </c>
      <c r="I103" s="53">
        <f>I104+I105</f>
        <v>0</v>
      </c>
      <c r="J103" s="53">
        <f>J104+J105</f>
        <v>931.3</v>
      </c>
      <c r="K103" s="53">
        <f>K104+K105</f>
        <v>0</v>
      </c>
      <c r="L103" s="83"/>
    </row>
    <row r="104" spans="1:12" s="49" customFormat="1" ht="36" customHeight="1">
      <c r="A104" s="2" t="s">
        <v>440</v>
      </c>
      <c r="B104" s="4" t="s">
        <v>332</v>
      </c>
      <c r="C104" s="4" t="s">
        <v>264</v>
      </c>
      <c r="D104" s="4" t="s">
        <v>265</v>
      </c>
      <c r="E104" s="52" t="s">
        <v>445</v>
      </c>
      <c r="F104" s="4"/>
      <c r="G104" s="6" t="s">
        <v>437</v>
      </c>
      <c r="H104" s="53">
        <v>366.5</v>
      </c>
      <c r="I104" s="48"/>
      <c r="J104" s="53">
        <v>357.9</v>
      </c>
      <c r="K104" s="48"/>
      <c r="L104" s="63"/>
    </row>
    <row r="105" spans="1:12" s="49" customFormat="1" ht="27" customHeight="1">
      <c r="A105" s="2" t="s">
        <v>431</v>
      </c>
      <c r="B105" s="4" t="s">
        <v>332</v>
      </c>
      <c r="C105" s="4" t="s">
        <v>264</v>
      </c>
      <c r="D105" s="4" t="s">
        <v>265</v>
      </c>
      <c r="E105" s="52" t="s">
        <v>445</v>
      </c>
      <c r="F105" s="4"/>
      <c r="G105" s="6" t="s">
        <v>421</v>
      </c>
      <c r="H105" s="53">
        <v>573.4</v>
      </c>
      <c r="I105" s="48"/>
      <c r="J105" s="53">
        <v>573.4</v>
      </c>
      <c r="K105" s="48"/>
      <c r="L105" s="63"/>
    </row>
    <row r="106" spans="1:12" s="49" customFormat="1" ht="30">
      <c r="A106" s="47" t="s">
        <v>212</v>
      </c>
      <c r="B106" s="3" t="s">
        <v>332</v>
      </c>
      <c r="C106" s="3" t="s">
        <v>264</v>
      </c>
      <c r="D106" s="3" t="s">
        <v>263</v>
      </c>
      <c r="E106" s="3"/>
      <c r="F106" s="3"/>
      <c r="G106" s="6"/>
      <c r="H106" s="48">
        <f>H107</f>
        <v>3559.8</v>
      </c>
      <c r="I106" s="48">
        <f>I107</f>
        <v>0</v>
      </c>
      <c r="J106" s="48">
        <f>J107</f>
        <v>3467.3999999999996</v>
      </c>
      <c r="K106" s="48">
        <f>K107</f>
        <v>0</v>
      </c>
      <c r="L106" s="63">
        <f>J106/H106*100</f>
        <v>97.4043485589078</v>
      </c>
    </row>
    <row r="107" spans="1:12" ht="14.25">
      <c r="A107" s="2" t="s">
        <v>223</v>
      </c>
      <c r="B107" s="4" t="s">
        <v>332</v>
      </c>
      <c r="C107" s="4" t="s">
        <v>264</v>
      </c>
      <c r="D107" s="4" t="s">
        <v>263</v>
      </c>
      <c r="E107" s="4" t="s">
        <v>224</v>
      </c>
      <c r="F107" s="4"/>
      <c r="G107" s="6"/>
      <c r="H107" s="53">
        <f>H108+H111</f>
        <v>3559.8</v>
      </c>
      <c r="I107" s="53">
        <f>I108+I111</f>
        <v>0</v>
      </c>
      <c r="J107" s="53">
        <f>J108+J111</f>
        <v>3467.3999999999996</v>
      </c>
      <c r="K107" s="53">
        <f>K108+K111</f>
        <v>0</v>
      </c>
      <c r="L107" s="83"/>
    </row>
    <row r="108" spans="1:12" ht="42.75">
      <c r="A108" s="2" t="s">
        <v>366</v>
      </c>
      <c r="B108" s="4" t="s">
        <v>332</v>
      </c>
      <c r="C108" s="4" t="s">
        <v>264</v>
      </c>
      <c r="D108" s="4" t="s">
        <v>263</v>
      </c>
      <c r="E108" s="4" t="s">
        <v>290</v>
      </c>
      <c r="F108" s="4"/>
      <c r="G108" s="6"/>
      <c r="H108" s="53">
        <f>H110+H109</f>
        <v>1146</v>
      </c>
      <c r="I108" s="53">
        <f>I110+I109</f>
        <v>0</v>
      </c>
      <c r="J108" s="53">
        <f>J110+J109</f>
        <v>1089.3</v>
      </c>
      <c r="K108" s="53">
        <f>K110+K109</f>
        <v>0</v>
      </c>
      <c r="L108" s="83"/>
    </row>
    <row r="109" spans="1:12" ht="28.5">
      <c r="A109" s="2" t="s">
        <v>440</v>
      </c>
      <c r="B109" s="4" t="s">
        <v>332</v>
      </c>
      <c r="C109" s="4" t="s">
        <v>264</v>
      </c>
      <c r="D109" s="4" t="s">
        <v>263</v>
      </c>
      <c r="E109" s="4" t="s">
        <v>290</v>
      </c>
      <c r="F109" s="4"/>
      <c r="G109" s="6" t="s">
        <v>437</v>
      </c>
      <c r="H109" s="53">
        <v>61.1</v>
      </c>
      <c r="I109" s="53"/>
      <c r="J109" s="53">
        <v>40.8</v>
      </c>
      <c r="K109" s="53"/>
      <c r="L109" s="83"/>
    </row>
    <row r="110" spans="1:12" ht="32.25" customHeight="1">
      <c r="A110" s="2" t="s">
        <v>431</v>
      </c>
      <c r="B110" s="4" t="s">
        <v>332</v>
      </c>
      <c r="C110" s="4" t="s">
        <v>264</v>
      </c>
      <c r="D110" s="4" t="s">
        <v>263</v>
      </c>
      <c r="E110" s="4" t="s">
        <v>290</v>
      </c>
      <c r="F110" s="4"/>
      <c r="G110" s="6" t="s">
        <v>421</v>
      </c>
      <c r="H110" s="53">
        <f>1146-61.1</f>
        <v>1084.9</v>
      </c>
      <c r="I110" s="53"/>
      <c r="J110" s="53">
        <v>1048.5</v>
      </c>
      <c r="K110" s="53"/>
      <c r="L110" s="83"/>
    </row>
    <row r="111" spans="1:12" ht="42.75">
      <c r="A111" s="2" t="s">
        <v>373</v>
      </c>
      <c r="B111" s="4" t="s">
        <v>332</v>
      </c>
      <c r="C111" s="4" t="s">
        <v>264</v>
      </c>
      <c r="D111" s="4" t="s">
        <v>263</v>
      </c>
      <c r="E111" s="4" t="s">
        <v>344</v>
      </c>
      <c r="F111" s="4"/>
      <c r="G111" s="6"/>
      <c r="H111" s="53">
        <f>H112+H113</f>
        <v>2413.8</v>
      </c>
      <c r="I111" s="53">
        <f>I112+I113</f>
        <v>0</v>
      </c>
      <c r="J111" s="53">
        <f>J112+J113</f>
        <v>2378.1</v>
      </c>
      <c r="K111" s="53">
        <f>K112+K113</f>
        <v>0</v>
      </c>
      <c r="L111" s="83"/>
    </row>
    <row r="112" spans="1:12" ht="33" customHeight="1">
      <c r="A112" s="2" t="s">
        <v>431</v>
      </c>
      <c r="B112" s="4" t="s">
        <v>332</v>
      </c>
      <c r="C112" s="4" t="s">
        <v>264</v>
      </c>
      <c r="D112" s="4" t="s">
        <v>263</v>
      </c>
      <c r="E112" s="4" t="s">
        <v>344</v>
      </c>
      <c r="F112" s="4"/>
      <c r="G112" s="6" t="s">
        <v>421</v>
      </c>
      <c r="H112" s="53">
        <v>2373.8</v>
      </c>
      <c r="I112" s="53"/>
      <c r="J112" s="53">
        <v>2338.1</v>
      </c>
      <c r="K112" s="53"/>
      <c r="L112" s="83"/>
    </row>
    <row r="113" spans="1:12" ht="21.75" customHeight="1">
      <c r="A113" s="2" t="s">
        <v>577</v>
      </c>
      <c r="B113" s="4" t="s">
        <v>332</v>
      </c>
      <c r="C113" s="4" t="s">
        <v>264</v>
      </c>
      <c r="D113" s="4" t="s">
        <v>263</v>
      </c>
      <c r="E113" s="4" t="s">
        <v>344</v>
      </c>
      <c r="F113" s="4"/>
      <c r="G113" s="6" t="s">
        <v>576</v>
      </c>
      <c r="H113" s="53">
        <f>H114</f>
        <v>40</v>
      </c>
      <c r="I113" s="53">
        <f>I114</f>
        <v>0</v>
      </c>
      <c r="J113" s="53">
        <f>J114</f>
        <v>40</v>
      </c>
      <c r="K113" s="53">
        <f>K114</f>
        <v>0</v>
      </c>
      <c r="L113" s="83"/>
    </row>
    <row r="114" spans="1:12" ht="21" customHeight="1">
      <c r="A114" s="2" t="s">
        <v>86</v>
      </c>
      <c r="B114" s="4" t="s">
        <v>332</v>
      </c>
      <c r="C114" s="4" t="s">
        <v>264</v>
      </c>
      <c r="D114" s="4" t="s">
        <v>263</v>
      </c>
      <c r="E114" s="4" t="s">
        <v>344</v>
      </c>
      <c r="F114" s="4"/>
      <c r="G114" s="6" t="s">
        <v>85</v>
      </c>
      <c r="H114" s="53">
        <v>40</v>
      </c>
      <c r="I114" s="53"/>
      <c r="J114" s="53">
        <v>40</v>
      </c>
      <c r="K114" s="53"/>
      <c r="L114" s="83"/>
    </row>
    <row r="115" spans="1:12" ht="15">
      <c r="A115" s="47" t="s">
        <v>180</v>
      </c>
      <c r="B115" s="3" t="s">
        <v>332</v>
      </c>
      <c r="C115" s="3" t="s">
        <v>261</v>
      </c>
      <c r="D115" s="3"/>
      <c r="E115" s="3"/>
      <c r="F115" s="3"/>
      <c r="G115" s="5"/>
      <c r="H115" s="48">
        <f>H116+H121+H142+H131</f>
        <v>181123.3</v>
      </c>
      <c r="I115" s="48">
        <f>I116+I121+I142+I131</f>
        <v>50456.4</v>
      </c>
      <c r="J115" s="48">
        <f>J116+J121+J142+J131</f>
        <v>177685.40000000002</v>
      </c>
      <c r="K115" s="48">
        <f>K116+K121+K142+K131</f>
        <v>49599</v>
      </c>
      <c r="L115" s="63">
        <f>J115/H115*100</f>
        <v>98.10190074937904</v>
      </c>
    </row>
    <row r="116" spans="1:12" s="49" customFormat="1" ht="15">
      <c r="A116" s="47" t="s">
        <v>202</v>
      </c>
      <c r="B116" s="3" t="s">
        <v>332</v>
      </c>
      <c r="C116" s="3" t="s">
        <v>261</v>
      </c>
      <c r="D116" s="3" t="s">
        <v>268</v>
      </c>
      <c r="E116" s="3"/>
      <c r="F116" s="3"/>
      <c r="G116" s="6"/>
      <c r="H116" s="48">
        <f>H117</f>
        <v>13354</v>
      </c>
      <c r="I116" s="48">
        <f aca="true" t="shared" si="8" ref="I116:K119">I117</f>
        <v>0</v>
      </c>
      <c r="J116" s="48">
        <f t="shared" si="8"/>
        <v>13353.9</v>
      </c>
      <c r="K116" s="48">
        <f t="shared" si="8"/>
        <v>0</v>
      </c>
      <c r="L116" s="63"/>
    </row>
    <row r="117" spans="1:12" ht="14.25">
      <c r="A117" s="2" t="s">
        <v>249</v>
      </c>
      <c r="B117" s="4" t="s">
        <v>332</v>
      </c>
      <c r="C117" s="4" t="s">
        <v>261</v>
      </c>
      <c r="D117" s="4" t="s">
        <v>268</v>
      </c>
      <c r="E117" s="4" t="s">
        <v>250</v>
      </c>
      <c r="F117" s="4"/>
      <c r="G117" s="6"/>
      <c r="H117" s="53">
        <f>H118</f>
        <v>13354</v>
      </c>
      <c r="I117" s="53">
        <f t="shared" si="8"/>
        <v>0</v>
      </c>
      <c r="J117" s="53">
        <f t="shared" si="8"/>
        <v>13353.9</v>
      </c>
      <c r="K117" s="53">
        <f t="shared" si="8"/>
        <v>0</v>
      </c>
      <c r="L117" s="83"/>
    </row>
    <row r="118" spans="1:12" ht="28.5">
      <c r="A118" s="2" t="s">
        <v>251</v>
      </c>
      <c r="B118" s="4" t="s">
        <v>332</v>
      </c>
      <c r="C118" s="4" t="s">
        <v>261</v>
      </c>
      <c r="D118" s="4" t="s">
        <v>268</v>
      </c>
      <c r="E118" s="4" t="s">
        <v>252</v>
      </c>
      <c r="F118" s="4"/>
      <c r="G118" s="6"/>
      <c r="H118" s="53">
        <f>H119</f>
        <v>13354</v>
      </c>
      <c r="I118" s="53">
        <f t="shared" si="8"/>
        <v>0</v>
      </c>
      <c r="J118" s="53">
        <f t="shared" si="8"/>
        <v>13353.9</v>
      </c>
      <c r="K118" s="53">
        <f t="shared" si="8"/>
        <v>0</v>
      </c>
      <c r="L118" s="83"/>
    </row>
    <row r="119" spans="1:12" ht="49.5" customHeight="1">
      <c r="A119" s="2" t="s">
        <v>319</v>
      </c>
      <c r="B119" s="4" t="s">
        <v>332</v>
      </c>
      <c r="C119" s="4" t="s">
        <v>261</v>
      </c>
      <c r="D119" s="4" t="s">
        <v>268</v>
      </c>
      <c r="E119" s="4" t="s">
        <v>254</v>
      </c>
      <c r="F119" s="4" t="s">
        <v>175</v>
      </c>
      <c r="G119" s="6"/>
      <c r="H119" s="53">
        <f>H120</f>
        <v>13354</v>
      </c>
      <c r="I119" s="53">
        <f t="shared" si="8"/>
        <v>0</v>
      </c>
      <c r="J119" s="53">
        <f t="shared" si="8"/>
        <v>13353.9</v>
      </c>
      <c r="K119" s="53">
        <f t="shared" si="8"/>
        <v>0</v>
      </c>
      <c r="L119" s="83"/>
    </row>
    <row r="120" spans="1:12" ht="30" customHeight="1">
      <c r="A120" s="2" t="s">
        <v>431</v>
      </c>
      <c r="B120" s="4" t="s">
        <v>332</v>
      </c>
      <c r="C120" s="4" t="s">
        <v>261</v>
      </c>
      <c r="D120" s="4" t="s">
        <v>268</v>
      </c>
      <c r="E120" s="4" t="s">
        <v>254</v>
      </c>
      <c r="F120" s="4" t="s">
        <v>242</v>
      </c>
      <c r="G120" s="6" t="s">
        <v>421</v>
      </c>
      <c r="H120" s="53">
        <v>13354</v>
      </c>
      <c r="I120" s="53"/>
      <c r="J120" s="53">
        <v>13353.9</v>
      </c>
      <c r="K120" s="53"/>
      <c r="L120" s="83"/>
    </row>
    <row r="121" spans="1:12" s="49" customFormat="1" ht="15">
      <c r="A121" s="47" t="s">
        <v>4</v>
      </c>
      <c r="B121" s="3" t="s">
        <v>332</v>
      </c>
      <c r="C121" s="3" t="s">
        <v>261</v>
      </c>
      <c r="D121" s="3" t="s">
        <v>265</v>
      </c>
      <c r="E121" s="3"/>
      <c r="F121" s="3"/>
      <c r="G121" s="6"/>
      <c r="H121" s="48">
        <f>H128+H122</f>
        <v>81106.3</v>
      </c>
      <c r="I121" s="48">
        <f>I128+I122</f>
        <v>39900</v>
      </c>
      <c r="J121" s="48">
        <f>J128+J122</f>
        <v>80622.8</v>
      </c>
      <c r="K121" s="48">
        <f>K128+K122</f>
        <v>39900</v>
      </c>
      <c r="L121" s="63">
        <f>J121/H121*100</f>
        <v>99.40386875002312</v>
      </c>
    </row>
    <row r="122" spans="1:12" s="49" customFormat="1" ht="15">
      <c r="A122" s="2" t="s">
        <v>530</v>
      </c>
      <c r="B122" s="4" t="s">
        <v>332</v>
      </c>
      <c r="C122" s="4" t="s">
        <v>261</v>
      </c>
      <c r="D122" s="4" t="s">
        <v>265</v>
      </c>
      <c r="E122" s="4" t="s">
        <v>528</v>
      </c>
      <c r="F122" s="3"/>
      <c r="G122" s="5"/>
      <c r="H122" s="53">
        <f>H123</f>
        <v>39900</v>
      </c>
      <c r="I122" s="53">
        <f>I123</f>
        <v>39900</v>
      </c>
      <c r="J122" s="53">
        <f>J123</f>
        <v>39900</v>
      </c>
      <c r="K122" s="53">
        <f>K123</f>
        <v>39900</v>
      </c>
      <c r="L122" s="63"/>
    </row>
    <row r="123" spans="1:12" s="49" customFormat="1" ht="33.75" customHeight="1">
      <c r="A123" s="2" t="s">
        <v>121</v>
      </c>
      <c r="B123" s="4" t="s">
        <v>332</v>
      </c>
      <c r="C123" s="4" t="s">
        <v>261</v>
      </c>
      <c r="D123" s="4" t="s">
        <v>265</v>
      </c>
      <c r="E123" s="4" t="s">
        <v>119</v>
      </c>
      <c r="F123" s="3"/>
      <c r="G123" s="6"/>
      <c r="H123" s="53">
        <f>H124+H126</f>
        <v>39900</v>
      </c>
      <c r="I123" s="53">
        <f>I124+I126</f>
        <v>39900</v>
      </c>
      <c r="J123" s="53">
        <f>J124+J126</f>
        <v>39900</v>
      </c>
      <c r="K123" s="53">
        <f>K124+K126</f>
        <v>39900</v>
      </c>
      <c r="L123" s="63"/>
    </row>
    <row r="124" spans="1:12" s="49" customFormat="1" ht="61.5" customHeight="1">
      <c r="A124" s="2" t="s">
        <v>133</v>
      </c>
      <c r="B124" s="4" t="s">
        <v>332</v>
      </c>
      <c r="C124" s="4" t="s">
        <v>261</v>
      </c>
      <c r="D124" s="4" t="s">
        <v>265</v>
      </c>
      <c r="E124" s="4" t="s">
        <v>132</v>
      </c>
      <c r="F124" s="3"/>
      <c r="G124" s="6"/>
      <c r="H124" s="53">
        <f>H125</f>
        <v>19900</v>
      </c>
      <c r="I124" s="53">
        <f>I125</f>
        <v>19900</v>
      </c>
      <c r="J124" s="53">
        <f>J125</f>
        <v>19900</v>
      </c>
      <c r="K124" s="53">
        <f>K125</f>
        <v>19900</v>
      </c>
      <c r="L124" s="63"/>
    </row>
    <row r="125" spans="1:12" s="49" customFormat="1" ht="29.25">
      <c r="A125" s="2" t="s">
        <v>431</v>
      </c>
      <c r="B125" s="4" t="s">
        <v>332</v>
      </c>
      <c r="C125" s="4" t="s">
        <v>261</v>
      </c>
      <c r="D125" s="4" t="s">
        <v>265</v>
      </c>
      <c r="E125" s="4" t="s">
        <v>132</v>
      </c>
      <c r="F125" s="3"/>
      <c r="G125" s="6" t="s">
        <v>421</v>
      </c>
      <c r="H125" s="53">
        <f>20000-100</f>
        <v>19900</v>
      </c>
      <c r="I125" s="53">
        <f>20000-100</f>
        <v>19900</v>
      </c>
      <c r="J125" s="53">
        <v>19900</v>
      </c>
      <c r="K125" s="53">
        <v>19900</v>
      </c>
      <c r="L125" s="63"/>
    </row>
    <row r="126" spans="1:12" s="49" customFormat="1" ht="57.75">
      <c r="A126" s="2" t="s">
        <v>122</v>
      </c>
      <c r="B126" s="4" t="s">
        <v>332</v>
      </c>
      <c r="C126" s="4" t="s">
        <v>261</v>
      </c>
      <c r="D126" s="4" t="s">
        <v>265</v>
      </c>
      <c r="E126" s="4" t="s">
        <v>120</v>
      </c>
      <c r="F126" s="3"/>
      <c r="G126" s="6"/>
      <c r="H126" s="53">
        <f>H127</f>
        <v>20000</v>
      </c>
      <c r="I126" s="53">
        <f>I127</f>
        <v>20000</v>
      </c>
      <c r="J126" s="53">
        <f>J127</f>
        <v>20000</v>
      </c>
      <c r="K126" s="53">
        <f>K127</f>
        <v>20000</v>
      </c>
      <c r="L126" s="63"/>
    </row>
    <row r="127" spans="1:12" s="49" customFormat="1" ht="29.25" customHeight="1">
      <c r="A127" s="2" t="s">
        <v>431</v>
      </c>
      <c r="B127" s="4" t="s">
        <v>332</v>
      </c>
      <c r="C127" s="4" t="s">
        <v>261</v>
      </c>
      <c r="D127" s="4" t="s">
        <v>265</v>
      </c>
      <c r="E127" s="4" t="s">
        <v>120</v>
      </c>
      <c r="F127" s="3"/>
      <c r="G127" s="6" t="s">
        <v>421</v>
      </c>
      <c r="H127" s="53">
        <v>20000</v>
      </c>
      <c r="I127" s="53">
        <v>20000</v>
      </c>
      <c r="J127" s="53">
        <v>20000</v>
      </c>
      <c r="K127" s="53">
        <v>20000</v>
      </c>
      <c r="L127" s="63"/>
    </row>
    <row r="128" spans="1:12" ht="14.25">
      <c r="A128" s="2" t="s">
        <v>223</v>
      </c>
      <c r="B128" s="4" t="s">
        <v>332</v>
      </c>
      <c r="C128" s="4" t="s">
        <v>261</v>
      </c>
      <c r="D128" s="4" t="s">
        <v>265</v>
      </c>
      <c r="E128" s="4" t="s">
        <v>224</v>
      </c>
      <c r="F128" s="4"/>
      <c r="G128" s="6"/>
      <c r="H128" s="53">
        <f>H129</f>
        <v>41206.3</v>
      </c>
      <c r="I128" s="53">
        <f aca="true" t="shared" si="9" ref="I128:K129">I129</f>
        <v>0</v>
      </c>
      <c r="J128" s="53">
        <f t="shared" si="9"/>
        <v>40722.8</v>
      </c>
      <c r="K128" s="53">
        <f t="shared" si="9"/>
        <v>0</v>
      </c>
      <c r="L128" s="83"/>
    </row>
    <row r="129" spans="1:12" ht="85.5">
      <c r="A129" s="7" t="s">
        <v>464</v>
      </c>
      <c r="B129" s="4" t="s">
        <v>332</v>
      </c>
      <c r="C129" s="4" t="s">
        <v>261</v>
      </c>
      <c r="D129" s="4" t="s">
        <v>265</v>
      </c>
      <c r="E129" s="4" t="s">
        <v>463</v>
      </c>
      <c r="F129" s="4"/>
      <c r="G129" s="6"/>
      <c r="H129" s="53">
        <f>H130</f>
        <v>41206.3</v>
      </c>
      <c r="I129" s="53">
        <f t="shared" si="9"/>
        <v>0</v>
      </c>
      <c r="J129" s="53">
        <f t="shared" si="9"/>
        <v>40722.8</v>
      </c>
      <c r="K129" s="53">
        <f t="shared" si="9"/>
        <v>0</v>
      </c>
      <c r="L129" s="83"/>
    </row>
    <row r="130" spans="1:12" ht="30" customHeight="1">
      <c r="A130" s="2" t="s">
        <v>431</v>
      </c>
      <c r="B130" s="4" t="s">
        <v>332</v>
      </c>
      <c r="C130" s="4" t="s">
        <v>261</v>
      </c>
      <c r="D130" s="4" t="s">
        <v>265</v>
      </c>
      <c r="E130" s="4" t="s">
        <v>463</v>
      </c>
      <c r="F130" s="4"/>
      <c r="G130" s="6" t="s">
        <v>421</v>
      </c>
      <c r="H130" s="53">
        <f>38902+1670+634.3</f>
        <v>41206.3</v>
      </c>
      <c r="I130" s="53"/>
      <c r="J130" s="53">
        <v>40722.8</v>
      </c>
      <c r="K130" s="53"/>
      <c r="L130" s="83"/>
    </row>
    <row r="131" spans="1:12" ht="19.5" customHeight="1">
      <c r="A131" s="47" t="s">
        <v>40</v>
      </c>
      <c r="B131" s="3" t="s">
        <v>332</v>
      </c>
      <c r="C131" s="3" t="s">
        <v>261</v>
      </c>
      <c r="D131" s="3" t="s">
        <v>266</v>
      </c>
      <c r="E131" s="3"/>
      <c r="F131" s="3"/>
      <c r="G131" s="5"/>
      <c r="H131" s="48">
        <f>H132+H138</f>
        <v>12290.3</v>
      </c>
      <c r="I131" s="48">
        <f>I132+I138</f>
        <v>8306.4</v>
      </c>
      <c r="J131" s="48">
        <f>J132+J138</f>
        <v>11305.599999999999</v>
      </c>
      <c r="K131" s="48">
        <f>K132+K138</f>
        <v>8206.4</v>
      </c>
      <c r="L131" s="63">
        <f>J131/H131*100</f>
        <v>91.98799052911644</v>
      </c>
    </row>
    <row r="132" spans="1:12" ht="19.5" customHeight="1">
      <c r="A132" s="2" t="s">
        <v>530</v>
      </c>
      <c r="B132" s="4" t="s">
        <v>332</v>
      </c>
      <c r="C132" s="4" t="s">
        <v>261</v>
      </c>
      <c r="D132" s="4" t="s">
        <v>266</v>
      </c>
      <c r="E132" s="4" t="s">
        <v>528</v>
      </c>
      <c r="F132" s="4"/>
      <c r="G132" s="6"/>
      <c r="H132" s="53">
        <f>H133</f>
        <v>8306.4</v>
      </c>
      <c r="I132" s="53">
        <f>I133</f>
        <v>8306.4</v>
      </c>
      <c r="J132" s="53">
        <f>J133</f>
        <v>8206.4</v>
      </c>
      <c r="K132" s="53">
        <f>K133</f>
        <v>8206.4</v>
      </c>
      <c r="L132" s="83"/>
    </row>
    <row r="133" spans="1:12" ht="87.75" customHeight="1">
      <c r="A133" s="2" t="s">
        <v>123</v>
      </c>
      <c r="B133" s="4" t="s">
        <v>332</v>
      </c>
      <c r="C133" s="4" t="s">
        <v>261</v>
      </c>
      <c r="D133" s="4" t="s">
        <v>266</v>
      </c>
      <c r="E133" s="4" t="s">
        <v>71</v>
      </c>
      <c r="F133" s="4"/>
      <c r="G133" s="6"/>
      <c r="H133" s="53">
        <f>H134+H136</f>
        <v>8306.4</v>
      </c>
      <c r="I133" s="53">
        <f>I134+I136</f>
        <v>8306.4</v>
      </c>
      <c r="J133" s="53">
        <f>J134+J136</f>
        <v>8206.4</v>
      </c>
      <c r="K133" s="53">
        <f>K134+K136</f>
        <v>8206.4</v>
      </c>
      <c r="L133" s="83"/>
    </row>
    <row r="134" spans="1:12" ht="28.5" customHeight="1">
      <c r="A134" s="2" t="s">
        <v>44</v>
      </c>
      <c r="B134" s="4" t="s">
        <v>332</v>
      </c>
      <c r="C134" s="4" t="s">
        <v>261</v>
      </c>
      <c r="D134" s="4" t="s">
        <v>266</v>
      </c>
      <c r="E134" s="4" t="s">
        <v>72</v>
      </c>
      <c r="F134" s="4"/>
      <c r="G134" s="6"/>
      <c r="H134" s="53">
        <f>H135</f>
        <v>7294.2</v>
      </c>
      <c r="I134" s="53">
        <f>I135</f>
        <v>7294.2</v>
      </c>
      <c r="J134" s="53">
        <f>J135</f>
        <v>7194.2</v>
      </c>
      <c r="K134" s="53">
        <f>K135</f>
        <v>7194.2</v>
      </c>
      <c r="L134" s="83"/>
    </row>
    <row r="135" spans="1:12" ht="31.5" customHeight="1">
      <c r="A135" s="2" t="s">
        <v>440</v>
      </c>
      <c r="B135" s="4" t="s">
        <v>332</v>
      </c>
      <c r="C135" s="4" t="s">
        <v>261</v>
      </c>
      <c r="D135" s="4" t="s">
        <v>266</v>
      </c>
      <c r="E135" s="4" t="s">
        <v>72</v>
      </c>
      <c r="F135" s="4"/>
      <c r="G135" s="6" t="s">
        <v>437</v>
      </c>
      <c r="H135" s="53">
        <v>7294.2</v>
      </c>
      <c r="I135" s="53">
        <v>7294.2</v>
      </c>
      <c r="J135" s="53">
        <v>7194.2</v>
      </c>
      <c r="K135" s="53">
        <v>7194.2</v>
      </c>
      <c r="L135" s="83"/>
    </row>
    <row r="136" spans="1:12" ht="72" customHeight="1">
      <c r="A136" s="2" t="s">
        <v>114</v>
      </c>
      <c r="B136" s="4" t="s">
        <v>332</v>
      </c>
      <c r="C136" s="4" t="s">
        <v>261</v>
      </c>
      <c r="D136" s="4" t="s">
        <v>266</v>
      </c>
      <c r="E136" s="4" t="s">
        <v>73</v>
      </c>
      <c r="F136" s="4"/>
      <c r="G136" s="6"/>
      <c r="H136" s="53">
        <f>H137</f>
        <v>1012.2</v>
      </c>
      <c r="I136" s="53">
        <f>I137</f>
        <v>1012.2</v>
      </c>
      <c r="J136" s="53">
        <f>J137</f>
        <v>1012.2</v>
      </c>
      <c r="K136" s="53">
        <f>K137</f>
        <v>1012.2</v>
      </c>
      <c r="L136" s="83"/>
    </row>
    <row r="137" spans="1:12" ht="31.5" customHeight="1">
      <c r="A137" s="2" t="s">
        <v>440</v>
      </c>
      <c r="B137" s="4" t="s">
        <v>332</v>
      </c>
      <c r="C137" s="4" t="s">
        <v>261</v>
      </c>
      <c r="D137" s="4" t="s">
        <v>266</v>
      </c>
      <c r="E137" s="4" t="s">
        <v>73</v>
      </c>
      <c r="F137" s="4"/>
      <c r="G137" s="6" t="s">
        <v>437</v>
      </c>
      <c r="H137" s="53">
        <v>1012.2</v>
      </c>
      <c r="I137" s="53">
        <v>1012.2</v>
      </c>
      <c r="J137" s="53">
        <v>1012.2</v>
      </c>
      <c r="K137" s="53">
        <v>1012.2</v>
      </c>
      <c r="L137" s="83"/>
    </row>
    <row r="138" spans="1:12" ht="18" customHeight="1">
      <c r="A138" s="2" t="s">
        <v>223</v>
      </c>
      <c r="B138" s="4" t="s">
        <v>332</v>
      </c>
      <c r="C138" s="4" t="s">
        <v>261</v>
      </c>
      <c r="D138" s="4" t="s">
        <v>266</v>
      </c>
      <c r="E138" s="4" t="s">
        <v>224</v>
      </c>
      <c r="F138" s="4"/>
      <c r="G138" s="6"/>
      <c r="H138" s="53">
        <f>H139</f>
        <v>3983.9</v>
      </c>
      <c r="I138" s="53">
        <f>I139</f>
        <v>0</v>
      </c>
      <c r="J138" s="53">
        <f>J139</f>
        <v>3099.2</v>
      </c>
      <c r="K138" s="53">
        <f>K139</f>
        <v>0</v>
      </c>
      <c r="L138" s="83"/>
    </row>
    <row r="139" spans="1:12" ht="97.5" customHeight="1">
      <c r="A139" s="7" t="s">
        <v>496</v>
      </c>
      <c r="B139" s="4" t="s">
        <v>332</v>
      </c>
      <c r="C139" s="4" t="s">
        <v>261</v>
      </c>
      <c r="D139" s="4" t="s">
        <v>266</v>
      </c>
      <c r="E139" s="4" t="s">
        <v>497</v>
      </c>
      <c r="F139" s="4"/>
      <c r="G139" s="6"/>
      <c r="H139" s="53">
        <f>H140+H141</f>
        <v>3983.9</v>
      </c>
      <c r="I139" s="53">
        <f>I140+I141</f>
        <v>0</v>
      </c>
      <c r="J139" s="53">
        <f>J140+J141</f>
        <v>3099.2</v>
      </c>
      <c r="K139" s="53">
        <f>K140+K141</f>
        <v>0</v>
      </c>
      <c r="L139" s="83"/>
    </row>
    <row r="140" spans="1:12" ht="31.5" customHeight="1">
      <c r="A140" s="2" t="s">
        <v>440</v>
      </c>
      <c r="B140" s="4" t="s">
        <v>332</v>
      </c>
      <c r="C140" s="4" t="s">
        <v>261</v>
      </c>
      <c r="D140" s="4" t="s">
        <v>266</v>
      </c>
      <c r="E140" s="4" t="s">
        <v>497</v>
      </c>
      <c r="F140" s="4"/>
      <c r="G140" s="6" t="s">
        <v>437</v>
      </c>
      <c r="H140" s="53">
        <v>2484.3</v>
      </c>
      <c r="I140" s="53"/>
      <c r="J140" s="53">
        <v>1658.2</v>
      </c>
      <c r="K140" s="53"/>
      <c r="L140" s="83"/>
    </row>
    <row r="141" spans="1:12" ht="31.5" customHeight="1">
      <c r="A141" s="2" t="s">
        <v>431</v>
      </c>
      <c r="B141" s="4" t="s">
        <v>332</v>
      </c>
      <c r="C141" s="4" t="s">
        <v>261</v>
      </c>
      <c r="D141" s="4" t="s">
        <v>266</v>
      </c>
      <c r="E141" s="4" t="s">
        <v>497</v>
      </c>
      <c r="F141" s="4"/>
      <c r="G141" s="6" t="s">
        <v>421</v>
      </c>
      <c r="H141" s="53">
        <v>1499.6</v>
      </c>
      <c r="I141" s="53"/>
      <c r="J141" s="53">
        <v>1441</v>
      </c>
      <c r="K141" s="53"/>
      <c r="L141" s="83"/>
    </row>
    <row r="142" spans="1:12" s="49" customFormat="1" ht="20.25" customHeight="1">
      <c r="A142" s="47" t="s">
        <v>181</v>
      </c>
      <c r="B142" s="3" t="s">
        <v>332</v>
      </c>
      <c r="C142" s="3" t="s">
        <v>261</v>
      </c>
      <c r="D142" s="3" t="s">
        <v>262</v>
      </c>
      <c r="E142" s="3"/>
      <c r="F142" s="3"/>
      <c r="G142" s="6"/>
      <c r="H142" s="48">
        <f>H143+H152+H163+H159</f>
        <v>74372.7</v>
      </c>
      <c r="I142" s="48">
        <f>I143+I152+I163+I159</f>
        <v>2250</v>
      </c>
      <c r="J142" s="48">
        <f>J143+J152+J163+J159</f>
        <v>72403.10000000002</v>
      </c>
      <c r="K142" s="48">
        <f>K143+K152+K163+K159</f>
        <v>1492.6</v>
      </c>
      <c r="L142" s="63">
        <f>J142/H142*100</f>
        <v>97.35171642282722</v>
      </c>
    </row>
    <row r="143" spans="1:12" s="49" customFormat="1" ht="30.75" customHeight="1">
      <c r="A143" s="2" t="s">
        <v>207</v>
      </c>
      <c r="B143" s="4" t="s">
        <v>332</v>
      </c>
      <c r="C143" s="4" t="s">
        <v>261</v>
      </c>
      <c r="D143" s="4" t="s">
        <v>262</v>
      </c>
      <c r="E143" s="4" t="s">
        <v>237</v>
      </c>
      <c r="F143" s="3"/>
      <c r="G143" s="6"/>
      <c r="H143" s="53">
        <f>H144</f>
        <v>66938.8</v>
      </c>
      <c r="I143" s="53">
        <f>I144</f>
        <v>0</v>
      </c>
      <c r="J143" s="53">
        <f>J144</f>
        <v>66561.70000000001</v>
      </c>
      <c r="K143" s="53">
        <f>K144</f>
        <v>0</v>
      </c>
      <c r="L143" s="63"/>
    </row>
    <row r="144" spans="1:12" s="49" customFormat="1" ht="15">
      <c r="A144" s="2" t="s">
        <v>157</v>
      </c>
      <c r="B144" s="4" t="s">
        <v>332</v>
      </c>
      <c r="C144" s="4" t="s">
        <v>261</v>
      </c>
      <c r="D144" s="4" t="s">
        <v>262</v>
      </c>
      <c r="E144" s="4" t="s">
        <v>353</v>
      </c>
      <c r="F144" s="4"/>
      <c r="G144" s="6"/>
      <c r="H144" s="53">
        <f>H150+H151+H145+H147</f>
        <v>66938.8</v>
      </c>
      <c r="I144" s="53">
        <f>I150+I151+I145+I147</f>
        <v>0</v>
      </c>
      <c r="J144" s="53">
        <f>J150+J151+J145+J147</f>
        <v>66561.70000000001</v>
      </c>
      <c r="K144" s="53">
        <f>K150+K151+K145+K147</f>
        <v>0</v>
      </c>
      <c r="L144" s="63"/>
    </row>
    <row r="145" spans="1:12" s="49" customFormat="1" ht="15">
      <c r="A145" s="2" t="s">
        <v>555</v>
      </c>
      <c r="B145" s="4" t="s">
        <v>332</v>
      </c>
      <c r="C145" s="4" t="s">
        <v>261</v>
      </c>
      <c r="D145" s="4" t="s">
        <v>262</v>
      </c>
      <c r="E145" s="4" t="s">
        <v>353</v>
      </c>
      <c r="F145" s="4"/>
      <c r="G145" s="6" t="s">
        <v>534</v>
      </c>
      <c r="H145" s="53">
        <f>H146</f>
        <v>532.1</v>
      </c>
      <c r="I145" s="53">
        <f>I146</f>
        <v>0</v>
      </c>
      <c r="J145" s="53">
        <f>J146</f>
        <v>532.1</v>
      </c>
      <c r="K145" s="53">
        <f>K146</f>
        <v>0</v>
      </c>
      <c r="L145" s="63"/>
    </row>
    <row r="146" spans="1:12" s="49" customFormat="1" ht="24.75" customHeight="1">
      <c r="A146" s="2" t="s">
        <v>415</v>
      </c>
      <c r="B146" s="4" t="s">
        <v>332</v>
      </c>
      <c r="C146" s="4" t="s">
        <v>261</v>
      </c>
      <c r="D146" s="4" t="s">
        <v>262</v>
      </c>
      <c r="E146" s="4" t="s">
        <v>353</v>
      </c>
      <c r="F146" s="4"/>
      <c r="G146" s="6" t="s">
        <v>443</v>
      </c>
      <c r="H146" s="53">
        <f>4820.2-1569+1000-3251.2-467.9</f>
        <v>532.1</v>
      </c>
      <c r="I146" s="48"/>
      <c r="J146" s="53">
        <v>532.1</v>
      </c>
      <c r="K146" s="48"/>
      <c r="L146" s="63"/>
    </row>
    <row r="147" spans="1:12" s="49" customFormat="1" ht="28.5" customHeight="1">
      <c r="A147" s="2" t="s">
        <v>599</v>
      </c>
      <c r="B147" s="4" t="s">
        <v>332</v>
      </c>
      <c r="C147" s="4" t="s">
        <v>261</v>
      </c>
      <c r="D147" s="4" t="s">
        <v>262</v>
      </c>
      <c r="E147" s="4" t="s">
        <v>353</v>
      </c>
      <c r="F147" s="4"/>
      <c r="G147" s="6" t="s">
        <v>526</v>
      </c>
      <c r="H147" s="53">
        <f>H148+H149</f>
        <v>467.9</v>
      </c>
      <c r="I147" s="53">
        <f>I148+I149</f>
        <v>0</v>
      </c>
      <c r="J147" s="53">
        <f>J148+J149</f>
        <v>333.3</v>
      </c>
      <c r="K147" s="53">
        <f>K148+K149</f>
        <v>0</v>
      </c>
      <c r="L147" s="63"/>
    </row>
    <row r="148" spans="1:12" s="49" customFormat="1" ht="30.75" customHeight="1">
      <c r="A148" s="2" t="s">
        <v>440</v>
      </c>
      <c r="B148" s="4" t="s">
        <v>332</v>
      </c>
      <c r="C148" s="4" t="s">
        <v>261</v>
      </c>
      <c r="D148" s="4" t="s">
        <v>262</v>
      </c>
      <c r="E148" s="4" t="s">
        <v>353</v>
      </c>
      <c r="F148" s="4"/>
      <c r="G148" s="6" t="s">
        <v>437</v>
      </c>
      <c r="H148" s="53">
        <v>15</v>
      </c>
      <c r="I148" s="48"/>
      <c r="J148" s="53">
        <v>0</v>
      </c>
      <c r="K148" s="48"/>
      <c r="L148" s="63"/>
    </row>
    <row r="149" spans="1:12" s="49" customFormat="1" ht="30.75" customHeight="1">
      <c r="A149" s="2" t="s">
        <v>431</v>
      </c>
      <c r="B149" s="4" t="s">
        <v>332</v>
      </c>
      <c r="C149" s="4" t="s">
        <v>261</v>
      </c>
      <c r="D149" s="4" t="s">
        <v>262</v>
      </c>
      <c r="E149" s="4" t="s">
        <v>353</v>
      </c>
      <c r="F149" s="4"/>
      <c r="G149" s="6" t="s">
        <v>421</v>
      </c>
      <c r="H149" s="53">
        <v>452.9</v>
      </c>
      <c r="I149" s="48"/>
      <c r="J149" s="53">
        <v>333.3</v>
      </c>
      <c r="K149" s="48"/>
      <c r="L149" s="63"/>
    </row>
    <row r="150" spans="1:12" s="49" customFormat="1" ht="43.5">
      <c r="A150" s="2" t="s">
        <v>429</v>
      </c>
      <c r="B150" s="4" t="s">
        <v>332</v>
      </c>
      <c r="C150" s="4" t="s">
        <v>261</v>
      </c>
      <c r="D150" s="4" t="s">
        <v>262</v>
      </c>
      <c r="E150" s="4" t="s">
        <v>353</v>
      </c>
      <c r="F150" s="4"/>
      <c r="G150" s="6" t="s">
        <v>402</v>
      </c>
      <c r="H150" s="53">
        <f>44400+15630.4-4400+1000+1041+57.4</f>
        <v>57728.8</v>
      </c>
      <c r="I150" s="48"/>
      <c r="J150" s="53">
        <v>57728.8</v>
      </c>
      <c r="K150" s="48"/>
      <c r="L150" s="63"/>
    </row>
    <row r="151" spans="1:12" s="49" customFormat="1" ht="15">
      <c r="A151" s="7" t="s">
        <v>399</v>
      </c>
      <c r="B151" s="4" t="s">
        <v>332</v>
      </c>
      <c r="C151" s="4" t="s">
        <v>261</v>
      </c>
      <c r="D151" s="4" t="s">
        <v>262</v>
      </c>
      <c r="E151" s="4" t="s">
        <v>353</v>
      </c>
      <c r="F151" s="4"/>
      <c r="G151" s="6" t="s">
        <v>398</v>
      </c>
      <c r="H151" s="53">
        <f>1000+4400+3000+810-1000</f>
        <v>8210</v>
      </c>
      <c r="I151" s="48"/>
      <c r="J151" s="53">
        <v>7967.5</v>
      </c>
      <c r="K151" s="48"/>
      <c r="L151" s="63"/>
    </row>
    <row r="152" spans="1:12" s="49" customFormat="1" ht="29.25">
      <c r="A152" s="2" t="s">
        <v>213</v>
      </c>
      <c r="B152" s="4" t="s">
        <v>332</v>
      </c>
      <c r="C152" s="4" t="s">
        <v>261</v>
      </c>
      <c r="D152" s="4" t="s">
        <v>262</v>
      </c>
      <c r="E152" s="4" t="s">
        <v>186</v>
      </c>
      <c r="F152" s="4"/>
      <c r="G152" s="6"/>
      <c r="H152" s="53">
        <f>H153+H155</f>
        <v>2324.2</v>
      </c>
      <c r="I152" s="53">
        <f>I153+I155</f>
        <v>1552.5</v>
      </c>
      <c r="J152" s="53">
        <f>J153+J155</f>
        <v>795.1</v>
      </c>
      <c r="K152" s="53">
        <f>K153+K155</f>
        <v>795.1</v>
      </c>
      <c r="L152" s="63"/>
    </row>
    <row r="153" spans="1:12" s="49" customFormat="1" ht="15">
      <c r="A153" s="2" t="s">
        <v>314</v>
      </c>
      <c r="B153" s="4" t="s">
        <v>332</v>
      </c>
      <c r="C153" s="4" t="s">
        <v>261</v>
      </c>
      <c r="D153" s="4" t="s">
        <v>262</v>
      </c>
      <c r="E153" s="4" t="s">
        <v>315</v>
      </c>
      <c r="F153" s="4"/>
      <c r="G153" s="6"/>
      <c r="H153" s="53">
        <f>H154</f>
        <v>771.6999999999999</v>
      </c>
      <c r="I153" s="53">
        <f>I154</f>
        <v>0</v>
      </c>
      <c r="J153" s="53">
        <f>J154</f>
        <v>0</v>
      </c>
      <c r="K153" s="53">
        <f>K154</f>
        <v>0</v>
      </c>
      <c r="L153" s="63"/>
    </row>
    <row r="154" spans="1:12" s="49" customFormat="1" ht="28.5" customHeight="1">
      <c r="A154" s="2" t="s">
        <v>431</v>
      </c>
      <c r="B154" s="4" t="s">
        <v>332</v>
      </c>
      <c r="C154" s="4" t="s">
        <v>261</v>
      </c>
      <c r="D154" s="4" t="s">
        <v>262</v>
      </c>
      <c r="E154" s="4" t="s">
        <v>315</v>
      </c>
      <c r="F154" s="4"/>
      <c r="G154" s="6" t="s">
        <v>421</v>
      </c>
      <c r="H154" s="53">
        <f>621+460-154-125+103.3-133.6</f>
        <v>771.6999999999999</v>
      </c>
      <c r="I154" s="53"/>
      <c r="J154" s="53"/>
      <c r="K154" s="53"/>
      <c r="L154" s="63"/>
    </row>
    <row r="155" spans="1:12" s="49" customFormat="1" ht="17.25" customHeight="1">
      <c r="A155" s="2" t="s">
        <v>485</v>
      </c>
      <c r="B155" s="4" t="s">
        <v>332</v>
      </c>
      <c r="C155" s="4" t="s">
        <v>261</v>
      </c>
      <c r="D155" s="4" t="s">
        <v>262</v>
      </c>
      <c r="E155" s="4" t="s">
        <v>483</v>
      </c>
      <c r="F155" s="4"/>
      <c r="G155" s="6"/>
      <c r="H155" s="53">
        <f>H156</f>
        <v>1552.5</v>
      </c>
      <c r="I155" s="53">
        <f>I156</f>
        <v>1552.5</v>
      </c>
      <c r="J155" s="53">
        <f>J156</f>
        <v>795.1</v>
      </c>
      <c r="K155" s="53">
        <f>K156</f>
        <v>795.1</v>
      </c>
      <c r="L155" s="63"/>
    </row>
    <row r="156" spans="1:12" s="49" customFormat="1" ht="45.75" customHeight="1">
      <c r="A156" s="2" t="s">
        <v>486</v>
      </c>
      <c r="B156" s="4" t="s">
        <v>332</v>
      </c>
      <c r="C156" s="4" t="s">
        <v>261</v>
      </c>
      <c r="D156" s="4" t="s">
        <v>262</v>
      </c>
      <c r="E156" s="4" t="s">
        <v>484</v>
      </c>
      <c r="F156" s="4"/>
      <c r="G156" s="6"/>
      <c r="H156" s="53">
        <f>H157+H158</f>
        <v>1552.5</v>
      </c>
      <c r="I156" s="53">
        <f>I157+I158</f>
        <v>1552.5</v>
      </c>
      <c r="J156" s="53">
        <f>J157+J158</f>
        <v>795.1</v>
      </c>
      <c r="K156" s="53">
        <f>K157+K158</f>
        <v>795.1</v>
      </c>
      <c r="L156" s="63"/>
    </row>
    <row r="157" spans="1:12" s="49" customFormat="1" ht="28.5" customHeight="1">
      <c r="A157" s="2" t="s">
        <v>431</v>
      </c>
      <c r="B157" s="4" t="s">
        <v>332</v>
      </c>
      <c r="C157" s="4" t="s">
        <v>261</v>
      </c>
      <c r="D157" s="4" t="s">
        <v>262</v>
      </c>
      <c r="E157" s="4" t="s">
        <v>484</v>
      </c>
      <c r="F157" s="4"/>
      <c r="G157" s="6" t="s">
        <v>421</v>
      </c>
      <c r="H157" s="53">
        <v>752.5</v>
      </c>
      <c r="I157" s="53">
        <v>752.5</v>
      </c>
      <c r="J157" s="53">
        <v>0</v>
      </c>
      <c r="K157" s="53">
        <v>0</v>
      </c>
      <c r="L157" s="63"/>
    </row>
    <row r="158" spans="1:12" s="49" customFormat="1" ht="47.25" customHeight="1">
      <c r="A158" s="2" t="s">
        <v>480</v>
      </c>
      <c r="B158" s="4" t="s">
        <v>332</v>
      </c>
      <c r="C158" s="4" t="s">
        <v>261</v>
      </c>
      <c r="D158" s="4" t="s">
        <v>262</v>
      </c>
      <c r="E158" s="4" t="s">
        <v>484</v>
      </c>
      <c r="F158" s="4"/>
      <c r="G158" s="6" t="s">
        <v>460</v>
      </c>
      <c r="H158" s="53">
        <v>800</v>
      </c>
      <c r="I158" s="53">
        <v>800</v>
      </c>
      <c r="J158" s="53">
        <v>795.1</v>
      </c>
      <c r="K158" s="53">
        <v>795.1</v>
      </c>
      <c r="L158" s="63"/>
    </row>
    <row r="159" spans="1:12" s="49" customFormat="1" ht="18" customHeight="1">
      <c r="A159" s="2" t="s">
        <v>530</v>
      </c>
      <c r="B159" s="4" t="s">
        <v>332</v>
      </c>
      <c r="C159" s="4" t="s">
        <v>261</v>
      </c>
      <c r="D159" s="4" t="s">
        <v>262</v>
      </c>
      <c r="E159" s="4" t="s">
        <v>528</v>
      </c>
      <c r="F159" s="4"/>
      <c r="G159" s="6"/>
      <c r="H159" s="53">
        <f>H160</f>
        <v>697.5</v>
      </c>
      <c r="I159" s="53">
        <f>I160</f>
        <v>697.5</v>
      </c>
      <c r="J159" s="53">
        <f>J160</f>
        <v>697.5</v>
      </c>
      <c r="K159" s="53">
        <f>K160</f>
        <v>697.5</v>
      </c>
      <c r="L159" s="63"/>
    </row>
    <row r="160" spans="1:12" s="49" customFormat="1" ht="63" customHeight="1">
      <c r="A160" s="2" t="s">
        <v>89</v>
      </c>
      <c r="B160" s="4" t="s">
        <v>332</v>
      </c>
      <c r="C160" s="4" t="s">
        <v>261</v>
      </c>
      <c r="D160" s="4" t="s">
        <v>262</v>
      </c>
      <c r="E160" s="4" t="s">
        <v>565</v>
      </c>
      <c r="F160" s="4"/>
      <c r="G160" s="6"/>
      <c r="H160" s="53">
        <f>H161+H162</f>
        <v>697.5</v>
      </c>
      <c r="I160" s="53">
        <f>I161+I162</f>
        <v>697.5</v>
      </c>
      <c r="J160" s="53">
        <f>J161+J162</f>
        <v>697.5</v>
      </c>
      <c r="K160" s="53">
        <f>K161+K162</f>
        <v>697.5</v>
      </c>
      <c r="L160" s="63"/>
    </row>
    <row r="161" spans="1:12" s="49" customFormat="1" ht="28.5" customHeight="1" hidden="1">
      <c r="A161" s="2" t="s">
        <v>431</v>
      </c>
      <c r="B161" s="4" t="s">
        <v>332</v>
      </c>
      <c r="C161" s="4" t="s">
        <v>261</v>
      </c>
      <c r="D161" s="4" t="s">
        <v>262</v>
      </c>
      <c r="E161" s="4" t="s">
        <v>565</v>
      </c>
      <c r="F161" s="4"/>
      <c r="G161" s="6" t="s">
        <v>421</v>
      </c>
      <c r="H161" s="53">
        <v>0</v>
      </c>
      <c r="I161" s="53">
        <v>0</v>
      </c>
      <c r="J161" s="53"/>
      <c r="K161" s="48"/>
      <c r="L161" s="63"/>
    </row>
    <row r="162" spans="1:12" s="49" customFormat="1" ht="45.75" customHeight="1">
      <c r="A162" s="2" t="s">
        <v>480</v>
      </c>
      <c r="B162" s="4" t="s">
        <v>332</v>
      </c>
      <c r="C162" s="4" t="s">
        <v>261</v>
      </c>
      <c r="D162" s="4" t="s">
        <v>262</v>
      </c>
      <c r="E162" s="4" t="s">
        <v>565</v>
      </c>
      <c r="F162" s="4"/>
      <c r="G162" s="6" t="s">
        <v>460</v>
      </c>
      <c r="H162" s="53">
        <v>697.5</v>
      </c>
      <c r="I162" s="53">
        <v>697.5</v>
      </c>
      <c r="J162" s="53">
        <v>697.5</v>
      </c>
      <c r="K162" s="53">
        <v>697.5</v>
      </c>
      <c r="L162" s="63"/>
    </row>
    <row r="163" spans="1:12" ht="14.25">
      <c r="A163" s="2" t="s">
        <v>223</v>
      </c>
      <c r="B163" s="4" t="s">
        <v>332</v>
      </c>
      <c r="C163" s="4" t="s">
        <v>261</v>
      </c>
      <c r="D163" s="4" t="s">
        <v>262</v>
      </c>
      <c r="E163" s="4" t="s">
        <v>224</v>
      </c>
      <c r="F163" s="4"/>
      <c r="G163" s="6"/>
      <c r="H163" s="53">
        <f>H167+H164+H169</f>
        <v>4412.200000000001</v>
      </c>
      <c r="I163" s="53">
        <f>I167+I164+I169</f>
        <v>0</v>
      </c>
      <c r="J163" s="53">
        <f>J167+J164+J169</f>
        <v>4348.799999999999</v>
      </c>
      <c r="K163" s="53">
        <f>K167+K164+K169</f>
        <v>0</v>
      </c>
      <c r="L163" s="83"/>
    </row>
    <row r="164" spans="1:12" ht="57">
      <c r="A164" s="2" t="s">
        <v>574</v>
      </c>
      <c r="B164" s="4" t="s">
        <v>332</v>
      </c>
      <c r="C164" s="4" t="s">
        <v>261</v>
      </c>
      <c r="D164" s="4" t="s">
        <v>262</v>
      </c>
      <c r="E164" s="4" t="s">
        <v>493</v>
      </c>
      <c r="F164" s="4"/>
      <c r="G164" s="6"/>
      <c r="H164" s="53">
        <f>H165+H166</f>
        <v>1000</v>
      </c>
      <c r="I164" s="53">
        <f>I165+I166</f>
        <v>0</v>
      </c>
      <c r="J164" s="53">
        <f>J165+J166</f>
        <v>1000</v>
      </c>
      <c r="K164" s="53">
        <f>K165+K166</f>
        <v>0</v>
      </c>
      <c r="L164" s="83"/>
    </row>
    <row r="165" spans="1:12" ht="27.75" customHeight="1">
      <c r="A165" s="2" t="s">
        <v>431</v>
      </c>
      <c r="B165" s="4" t="s">
        <v>332</v>
      </c>
      <c r="C165" s="4" t="s">
        <v>261</v>
      </c>
      <c r="D165" s="4" t="s">
        <v>262</v>
      </c>
      <c r="E165" s="4" t="s">
        <v>493</v>
      </c>
      <c r="F165" s="4"/>
      <c r="G165" s="6" t="s">
        <v>421</v>
      </c>
      <c r="H165" s="53">
        <f>1000-750</f>
        <v>250</v>
      </c>
      <c r="I165" s="53"/>
      <c r="J165" s="53">
        <v>250</v>
      </c>
      <c r="K165" s="53"/>
      <c r="L165" s="83"/>
    </row>
    <row r="166" spans="1:12" ht="48" customHeight="1">
      <c r="A166" s="2" t="s">
        <v>480</v>
      </c>
      <c r="B166" s="4" t="s">
        <v>332</v>
      </c>
      <c r="C166" s="4" t="s">
        <v>261</v>
      </c>
      <c r="D166" s="4" t="s">
        <v>262</v>
      </c>
      <c r="E166" s="4" t="s">
        <v>493</v>
      </c>
      <c r="F166" s="4"/>
      <c r="G166" s="6" t="s">
        <v>460</v>
      </c>
      <c r="H166" s="53">
        <v>750</v>
      </c>
      <c r="I166" s="53"/>
      <c r="J166" s="53">
        <v>750</v>
      </c>
      <c r="K166" s="53"/>
      <c r="L166" s="83"/>
    </row>
    <row r="167" spans="1:12" ht="48" customHeight="1">
      <c r="A167" s="7" t="s">
        <v>364</v>
      </c>
      <c r="B167" s="4" t="s">
        <v>332</v>
      </c>
      <c r="C167" s="4" t="s">
        <v>261</v>
      </c>
      <c r="D167" s="4" t="s">
        <v>262</v>
      </c>
      <c r="E167" s="4" t="s">
        <v>291</v>
      </c>
      <c r="F167" s="4" t="s">
        <v>175</v>
      </c>
      <c r="G167" s="4"/>
      <c r="H167" s="53">
        <f>H168</f>
        <v>394</v>
      </c>
      <c r="I167" s="53">
        <f>I168</f>
        <v>0</v>
      </c>
      <c r="J167" s="53">
        <f>J168</f>
        <v>330.6</v>
      </c>
      <c r="K167" s="53">
        <f>K168</f>
        <v>0</v>
      </c>
      <c r="L167" s="83"/>
    </row>
    <row r="168" spans="1:12" ht="31.5" customHeight="1">
      <c r="A168" s="2" t="s">
        <v>431</v>
      </c>
      <c r="B168" s="4" t="s">
        <v>332</v>
      </c>
      <c r="C168" s="4" t="s">
        <v>261</v>
      </c>
      <c r="D168" s="4" t="s">
        <v>262</v>
      </c>
      <c r="E168" s="4" t="s">
        <v>291</v>
      </c>
      <c r="F168" s="4" t="s">
        <v>225</v>
      </c>
      <c r="G168" s="6" t="s">
        <v>421</v>
      </c>
      <c r="H168" s="53">
        <v>394</v>
      </c>
      <c r="I168" s="53"/>
      <c r="J168" s="53">
        <v>330.6</v>
      </c>
      <c r="K168" s="53"/>
      <c r="L168" s="83"/>
    </row>
    <row r="169" spans="1:12" ht="105" customHeight="1">
      <c r="A169" s="7" t="s">
        <v>496</v>
      </c>
      <c r="B169" s="4" t="s">
        <v>332</v>
      </c>
      <c r="C169" s="4" t="s">
        <v>261</v>
      </c>
      <c r="D169" s="4" t="s">
        <v>262</v>
      </c>
      <c r="E169" s="4" t="s">
        <v>497</v>
      </c>
      <c r="F169" s="4"/>
      <c r="G169" s="6"/>
      <c r="H169" s="53">
        <f>H170</f>
        <v>3018.2000000000003</v>
      </c>
      <c r="I169" s="53">
        <f>I170</f>
        <v>0</v>
      </c>
      <c r="J169" s="53">
        <f>J170</f>
        <v>3018.2</v>
      </c>
      <c r="K169" s="53">
        <f>K170</f>
        <v>0</v>
      </c>
      <c r="L169" s="83"/>
    </row>
    <row r="170" spans="1:12" ht="29.25" customHeight="1">
      <c r="A170" s="2" t="s">
        <v>431</v>
      </c>
      <c r="B170" s="4" t="s">
        <v>332</v>
      </c>
      <c r="C170" s="4" t="s">
        <v>261</v>
      </c>
      <c r="D170" s="4" t="s">
        <v>262</v>
      </c>
      <c r="E170" s="4" t="s">
        <v>497</v>
      </c>
      <c r="F170" s="4"/>
      <c r="G170" s="6" t="s">
        <v>421</v>
      </c>
      <c r="H170" s="53">
        <f>645.8+3251.2-878.6-0.2</f>
        <v>3018.2000000000003</v>
      </c>
      <c r="I170" s="53"/>
      <c r="J170" s="53">
        <v>3018.2</v>
      </c>
      <c r="K170" s="53"/>
      <c r="L170" s="83"/>
    </row>
    <row r="171" spans="1:12" s="49" customFormat="1" ht="15">
      <c r="A171" s="47" t="s">
        <v>155</v>
      </c>
      <c r="B171" s="3" t="s">
        <v>332</v>
      </c>
      <c r="C171" s="3" t="s">
        <v>269</v>
      </c>
      <c r="D171" s="3"/>
      <c r="E171" s="3"/>
      <c r="F171" s="3"/>
      <c r="G171" s="5"/>
      <c r="H171" s="48">
        <f>H172+H195+H215</f>
        <v>415669.4</v>
      </c>
      <c r="I171" s="48">
        <f>I172+I195+I215</f>
        <v>101348.5</v>
      </c>
      <c r="J171" s="48">
        <f>J172+J195+J215</f>
        <v>324475.39999999997</v>
      </c>
      <c r="K171" s="48">
        <f>K172+K195+K215</f>
        <v>74828</v>
      </c>
      <c r="L171" s="63">
        <f>J171/H171*100</f>
        <v>78.06093015266458</v>
      </c>
    </row>
    <row r="172" spans="1:12" s="49" customFormat="1" ht="15">
      <c r="A172" s="47" t="s">
        <v>183</v>
      </c>
      <c r="B172" s="3" t="s">
        <v>332</v>
      </c>
      <c r="C172" s="3" t="s">
        <v>269</v>
      </c>
      <c r="D172" s="3" t="s">
        <v>259</v>
      </c>
      <c r="E172" s="3"/>
      <c r="F172" s="3"/>
      <c r="G172" s="5"/>
      <c r="H172" s="48">
        <f>H185+H188+H191+H179+H173</f>
        <v>227820.8</v>
      </c>
      <c r="I172" s="48">
        <f>I185+I188+I191+I179+I173</f>
        <v>89144.5</v>
      </c>
      <c r="J172" s="48">
        <f>J185+J188+J191+J179+J173</f>
        <v>139989.3</v>
      </c>
      <c r="K172" s="48">
        <f>K185+K188+K191+K179+K173</f>
        <v>62624.5</v>
      </c>
      <c r="L172" s="63">
        <f>J172/H172*100</f>
        <v>61.44711106273001</v>
      </c>
    </row>
    <row r="173" spans="1:12" s="49" customFormat="1" ht="29.25">
      <c r="A173" s="2" t="s">
        <v>130</v>
      </c>
      <c r="B173" s="4" t="s">
        <v>332</v>
      </c>
      <c r="C173" s="4" t="s">
        <v>269</v>
      </c>
      <c r="D173" s="4" t="s">
        <v>259</v>
      </c>
      <c r="E173" s="4" t="s">
        <v>134</v>
      </c>
      <c r="F173" s="4" t="s">
        <v>175</v>
      </c>
      <c r="G173" s="6"/>
      <c r="H173" s="48">
        <f>H174+H176</f>
        <v>177868.6</v>
      </c>
      <c r="I173" s="48">
        <f>I174+I176</f>
        <v>89144.5</v>
      </c>
      <c r="J173" s="48">
        <f>J174+J176</f>
        <v>96345.5</v>
      </c>
      <c r="K173" s="48">
        <f>K174+K176</f>
        <v>62624.5</v>
      </c>
      <c r="L173" s="63">
        <f>J173/H173*100</f>
        <v>54.16667135177317</v>
      </c>
    </row>
    <row r="174" spans="1:12" s="49" customFormat="1" ht="57.75">
      <c r="A174" s="2" t="s">
        <v>131</v>
      </c>
      <c r="B174" s="4" t="s">
        <v>332</v>
      </c>
      <c r="C174" s="4" t="s">
        <v>269</v>
      </c>
      <c r="D174" s="4" t="s">
        <v>259</v>
      </c>
      <c r="E174" s="4" t="s">
        <v>136</v>
      </c>
      <c r="F174" s="4" t="s">
        <v>175</v>
      </c>
      <c r="G174" s="6"/>
      <c r="H174" s="53">
        <f>H175</f>
        <v>63998.3</v>
      </c>
      <c r="I174" s="53">
        <f>I175</f>
        <v>49372.3</v>
      </c>
      <c r="J174" s="53">
        <f>J175</f>
        <v>34684.3</v>
      </c>
      <c r="K174" s="53">
        <f>K175</f>
        <v>34684.3</v>
      </c>
      <c r="L174" s="63"/>
    </row>
    <row r="175" spans="1:12" s="49" customFormat="1" ht="43.5">
      <c r="A175" s="2" t="s">
        <v>480</v>
      </c>
      <c r="B175" s="4" t="s">
        <v>332</v>
      </c>
      <c r="C175" s="4" t="s">
        <v>269</v>
      </c>
      <c r="D175" s="4" t="s">
        <v>259</v>
      </c>
      <c r="E175" s="4" t="s">
        <v>136</v>
      </c>
      <c r="F175" s="4" t="s">
        <v>195</v>
      </c>
      <c r="G175" s="6" t="s">
        <v>460</v>
      </c>
      <c r="H175" s="53">
        <v>63998.3</v>
      </c>
      <c r="I175" s="53">
        <f>29052.3+5632+14688</f>
        <v>49372.3</v>
      </c>
      <c r="J175" s="53">
        <v>34684.3</v>
      </c>
      <c r="K175" s="53">
        <v>34684.3</v>
      </c>
      <c r="L175" s="63"/>
    </row>
    <row r="176" spans="1:12" s="49" customFormat="1" ht="29.25">
      <c r="A176" s="2" t="s">
        <v>130</v>
      </c>
      <c r="B176" s="4" t="s">
        <v>332</v>
      </c>
      <c r="C176" s="4" t="s">
        <v>269</v>
      </c>
      <c r="D176" s="4" t="s">
        <v>259</v>
      </c>
      <c r="E176" s="4" t="s">
        <v>139</v>
      </c>
      <c r="F176" s="4" t="s">
        <v>175</v>
      </c>
      <c r="G176" s="6"/>
      <c r="H176" s="53">
        <f>H177</f>
        <v>113870.3</v>
      </c>
      <c r="I176" s="53">
        <f aca="true" t="shared" si="10" ref="I176:K177">I177</f>
        <v>39772.2</v>
      </c>
      <c r="J176" s="53">
        <f t="shared" si="10"/>
        <v>61661.2</v>
      </c>
      <c r="K176" s="53">
        <f t="shared" si="10"/>
        <v>27940.2</v>
      </c>
      <c r="L176" s="63"/>
    </row>
    <row r="177" spans="1:12" s="49" customFormat="1" ht="15">
      <c r="A177" s="2" t="s">
        <v>112</v>
      </c>
      <c r="B177" s="4" t="s">
        <v>332</v>
      </c>
      <c r="C177" s="4" t="s">
        <v>269</v>
      </c>
      <c r="D177" s="4" t="s">
        <v>259</v>
      </c>
      <c r="E177" s="4" t="s">
        <v>139</v>
      </c>
      <c r="F177" s="4"/>
      <c r="G177" s="6" t="s">
        <v>108</v>
      </c>
      <c r="H177" s="53">
        <f>H178</f>
        <v>113870.3</v>
      </c>
      <c r="I177" s="53">
        <f t="shared" si="10"/>
        <v>39772.2</v>
      </c>
      <c r="J177" s="53">
        <f t="shared" si="10"/>
        <v>61661.2</v>
      </c>
      <c r="K177" s="53">
        <f t="shared" si="10"/>
        <v>27940.2</v>
      </c>
      <c r="L177" s="63"/>
    </row>
    <row r="178" spans="1:12" s="49" customFormat="1" ht="43.5">
      <c r="A178" s="2" t="s">
        <v>480</v>
      </c>
      <c r="B178" s="4" t="s">
        <v>332</v>
      </c>
      <c r="C178" s="4" t="s">
        <v>269</v>
      </c>
      <c r="D178" s="4" t="s">
        <v>259</v>
      </c>
      <c r="E178" s="4" t="s">
        <v>139</v>
      </c>
      <c r="F178" s="4" t="s">
        <v>195</v>
      </c>
      <c r="G178" s="6" t="s">
        <v>460</v>
      </c>
      <c r="H178" s="53">
        <v>113870.3</v>
      </c>
      <c r="I178" s="53">
        <v>39772.2</v>
      </c>
      <c r="J178" s="53">
        <v>61661.2</v>
      </c>
      <c r="K178" s="53">
        <v>27940.2</v>
      </c>
      <c r="L178" s="63"/>
    </row>
    <row r="179" spans="1:12" s="49" customFormat="1" ht="15">
      <c r="A179" s="2" t="s">
        <v>387</v>
      </c>
      <c r="B179" s="4" t="s">
        <v>332</v>
      </c>
      <c r="C179" s="4" t="s">
        <v>269</v>
      </c>
      <c r="D179" s="4" t="s">
        <v>259</v>
      </c>
      <c r="E179" s="4" t="s">
        <v>384</v>
      </c>
      <c r="F179" s="3"/>
      <c r="G179" s="6"/>
      <c r="H179" s="53">
        <f>H180</f>
        <v>12753.1</v>
      </c>
      <c r="I179" s="53">
        <f aca="true" t="shared" si="11" ref="I179:K180">I180</f>
        <v>0</v>
      </c>
      <c r="J179" s="53">
        <f t="shared" si="11"/>
        <v>6511.1</v>
      </c>
      <c r="K179" s="53">
        <f t="shared" si="11"/>
        <v>0</v>
      </c>
      <c r="L179" s="63"/>
    </row>
    <row r="180" spans="1:12" s="49" customFormat="1" ht="15">
      <c r="A180" s="2" t="s">
        <v>390</v>
      </c>
      <c r="B180" s="4" t="s">
        <v>332</v>
      </c>
      <c r="C180" s="4" t="s">
        <v>269</v>
      </c>
      <c r="D180" s="4" t="s">
        <v>259</v>
      </c>
      <c r="E180" s="4" t="s">
        <v>391</v>
      </c>
      <c r="F180" s="3"/>
      <c r="G180" s="6"/>
      <c r="H180" s="53">
        <f>H181</f>
        <v>12753.1</v>
      </c>
      <c r="I180" s="53">
        <f t="shared" si="11"/>
        <v>0</v>
      </c>
      <c r="J180" s="53">
        <f t="shared" si="11"/>
        <v>6511.1</v>
      </c>
      <c r="K180" s="53">
        <f t="shared" si="11"/>
        <v>0</v>
      </c>
      <c r="L180" s="63"/>
    </row>
    <row r="181" spans="1:12" s="49" customFormat="1" ht="29.25">
      <c r="A181" s="2" t="s">
        <v>599</v>
      </c>
      <c r="B181" s="4" t="s">
        <v>332</v>
      </c>
      <c r="C181" s="4" t="s">
        <v>269</v>
      </c>
      <c r="D181" s="4" t="s">
        <v>259</v>
      </c>
      <c r="E181" s="4" t="s">
        <v>391</v>
      </c>
      <c r="F181" s="3"/>
      <c r="G181" s="6" t="s">
        <v>526</v>
      </c>
      <c r="H181" s="53">
        <f>H182+H183</f>
        <v>12753.1</v>
      </c>
      <c r="I181" s="53">
        <f>I182+I183</f>
        <v>0</v>
      </c>
      <c r="J181" s="53">
        <f>J182+J183</f>
        <v>6511.1</v>
      </c>
      <c r="K181" s="53">
        <f>K182+K183</f>
        <v>0</v>
      </c>
      <c r="L181" s="63"/>
    </row>
    <row r="182" spans="1:12" s="49" customFormat="1" ht="29.25">
      <c r="A182" s="7" t="s">
        <v>432</v>
      </c>
      <c r="B182" s="4" t="s">
        <v>332</v>
      </c>
      <c r="C182" s="4" t="s">
        <v>269</v>
      </c>
      <c r="D182" s="4" t="s">
        <v>259</v>
      </c>
      <c r="E182" s="4" t="s">
        <v>391</v>
      </c>
      <c r="F182" s="3"/>
      <c r="G182" s="6" t="s">
        <v>424</v>
      </c>
      <c r="H182" s="53">
        <f>116.8+298.9-298.9+99.4+102+298.9+5355.1-99.4-102+2985+135-135-24.9-5.4-784+274.8+3720-0.1-0.1</f>
        <v>11936.1</v>
      </c>
      <c r="I182" s="48"/>
      <c r="J182" s="53">
        <v>5796.1</v>
      </c>
      <c r="K182" s="48"/>
      <c r="L182" s="63"/>
    </row>
    <row r="183" spans="1:12" s="49" customFormat="1" ht="29.25" customHeight="1">
      <c r="A183" s="2" t="s">
        <v>431</v>
      </c>
      <c r="B183" s="4" t="s">
        <v>332</v>
      </c>
      <c r="C183" s="4" t="s">
        <v>269</v>
      </c>
      <c r="D183" s="4" t="s">
        <v>259</v>
      </c>
      <c r="E183" s="4" t="s">
        <v>391</v>
      </c>
      <c r="F183" s="3"/>
      <c r="G183" s="6" t="s">
        <v>421</v>
      </c>
      <c r="H183" s="53">
        <f>620+99.4+102+135-40-99.4</f>
        <v>817</v>
      </c>
      <c r="I183" s="48"/>
      <c r="J183" s="53">
        <v>715</v>
      </c>
      <c r="K183" s="53"/>
      <c r="L183" s="63"/>
    </row>
    <row r="184" spans="1:12" s="49" customFormat="1" ht="16.5" customHeight="1">
      <c r="A184" s="2" t="s">
        <v>223</v>
      </c>
      <c r="B184" s="4" t="s">
        <v>332</v>
      </c>
      <c r="C184" s="4" t="s">
        <v>269</v>
      </c>
      <c r="D184" s="4" t="s">
        <v>259</v>
      </c>
      <c r="E184" s="4" t="s">
        <v>224</v>
      </c>
      <c r="F184" s="4"/>
      <c r="G184" s="6"/>
      <c r="H184" s="53">
        <f>H185+H188+H191</f>
        <v>37199.1</v>
      </c>
      <c r="I184" s="53">
        <f>I185+I188+I191</f>
        <v>0</v>
      </c>
      <c r="J184" s="53">
        <f>J185+J188+J191</f>
        <v>37132.700000000004</v>
      </c>
      <c r="K184" s="53">
        <f>K185+K188+K191</f>
        <v>0</v>
      </c>
      <c r="L184" s="63"/>
    </row>
    <row r="185" spans="1:12" s="49" customFormat="1" ht="60" customHeight="1">
      <c r="A185" s="54" t="s">
        <v>347</v>
      </c>
      <c r="B185" s="4" t="s">
        <v>332</v>
      </c>
      <c r="C185" s="4" t="s">
        <v>269</v>
      </c>
      <c r="D185" s="4" t="s">
        <v>259</v>
      </c>
      <c r="E185" s="4" t="s">
        <v>370</v>
      </c>
      <c r="F185" s="4"/>
      <c r="G185" s="6"/>
      <c r="H185" s="53">
        <f aca="true" t="shared" si="12" ref="H185:K186">H186</f>
        <v>219.3</v>
      </c>
      <c r="I185" s="53">
        <f t="shared" si="12"/>
        <v>0</v>
      </c>
      <c r="J185" s="53">
        <f t="shared" si="12"/>
        <v>219.3</v>
      </c>
      <c r="K185" s="53">
        <f t="shared" si="12"/>
        <v>0</v>
      </c>
      <c r="L185" s="63"/>
    </row>
    <row r="186" spans="1:12" s="49" customFormat="1" ht="30" customHeight="1">
      <c r="A186" s="2" t="s">
        <v>599</v>
      </c>
      <c r="B186" s="4" t="s">
        <v>332</v>
      </c>
      <c r="C186" s="4" t="s">
        <v>269</v>
      </c>
      <c r="D186" s="4" t="s">
        <v>259</v>
      </c>
      <c r="E186" s="4" t="s">
        <v>370</v>
      </c>
      <c r="F186" s="4"/>
      <c r="G186" s="6" t="s">
        <v>526</v>
      </c>
      <c r="H186" s="53">
        <f t="shared" si="12"/>
        <v>219.3</v>
      </c>
      <c r="I186" s="53">
        <f t="shared" si="12"/>
        <v>0</v>
      </c>
      <c r="J186" s="53">
        <f t="shared" si="12"/>
        <v>219.3</v>
      </c>
      <c r="K186" s="53">
        <f t="shared" si="12"/>
        <v>0</v>
      </c>
      <c r="L186" s="63"/>
    </row>
    <row r="187" spans="1:12" s="49" customFormat="1" ht="29.25">
      <c r="A187" s="7" t="s">
        <v>430</v>
      </c>
      <c r="B187" s="4" t="s">
        <v>332</v>
      </c>
      <c r="C187" s="4" t="s">
        <v>269</v>
      </c>
      <c r="D187" s="4" t="s">
        <v>259</v>
      </c>
      <c r="E187" s="4" t="s">
        <v>370</v>
      </c>
      <c r="F187" s="4"/>
      <c r="G187" s="6" t="s">
        <v>424</v>
      </c>
      <c r="H187" s="53">
        <f>200+50-30.7</f>
        <v>219.3</v>
      </c>
      <c r="I187" s="53"/>
      <c r="J187" s="53">
        <v>219.3</v>
      </c>
      <c r="K187" s="48"/>
      <c r="L187" s="63"/>
    </row>
    <row r="188" spans="1:12" s="49" customFormat="1" ht="42.75">
      <c r="A188" s="55" t="s">
        <v>369</v>
      </c>
      <c r="B188" s="4" t="s">
        <v>332</v>
      </c>
      <c r="C188" s="4" t="s">
        <v>269</v>
      </c>
      <c r="D188" s="4" t="s">
        <v>259</v>
      </c>
      <c r="E188" s="4" t="s">
        <v>350</v>
      </c>
      <c r="F188" s="4"/>
      <c r="G188" s="6"/>
      <c r="H188" s="53">
        <f>H189+H190</f>
        <v>6190.1</v>
      </c>
      <c r="I188" s="53">
        <f>I189+I190</f>
        <v>0</v>
      </c>
      <c r="J188" s="53">
        <f>J189+J190</f>
        <v>6182.1</v>
      </c>
      <c r="K188" s="53">
        <f>K189+K190</f>
        <v>0</v>
      </c>
      <c r="L188" s="63"/>
    </row>
    <row r="189" spans="1:12" s="49" customFormat="1" ht="33.75" customHeight="1">
      <c r="A189" s="7" t="s">
        <v>430</v>
      </c>
      <c r="B189" s="4" t="s">
        <v>332</v>
      </c>
      <c r="C189" s="4" t="s">
        <v>269</v>
      </c>
      <c r="D189" s="4" t="s">
        <v>259</v>
      </c>
      <c r="E189" s="4" t="s">
        <v>350</v>
      </c>
      <c r="F189" s="4"/>
      <c r="G189" s="6" t="s">
        <v>424</v>
      </c>
      <c r="H189" s="53">
        <v>8.5</v>
      </c>
      <c r="I189" s="53"/>
      <c r="J189" s="53">
        <v>8.5</v>
      </c>
      <c r="K189" s="48"/>
      <c r="L189" s="63"/>
    </row>
    <row r="190" spans="1:12" s="49" customFormat="1" ht="50.25" customHeight="1">
      <c r="A190" s="56" t="s">
        <v>461</v>
      </c>
      <c r="B190" s="4" t="s">
        <v>332</v>
      </c>
      <c r="C190" s="4" t="s">
        <v>269</v>
      </c>
      <c r="D190" s="4" t="s">
        <v>259</v>
      </c>
      <c r="E190" s="4" t="s">
        <v>350</v>
      </c>
      <c r="F190" s="4"/>
      <c r="G190" s="6" t="s">
        <v>460</v>
      </c>
      <c r="H190" s="53">
        <v>6181.6</v>
      </c>
      <c r="I190" s="53"/>
      <c r="J190" s="53">
        <v>6173.6</v>
      </c>
      <c r="K190" s="48"/>
      <c r="L190" s="63"/>
    </row>
    <row r="191" spans="1:12" s="49" customFormat="1" ht="63" customHeight="1">
      <c r="A191" s="2" t="s">
        <v>512</v>
      </c>
      <c r="B191" s="4" t="s">
        <v>332</v>
      </c>
      <c r="C191" s="4" t="s">
        <v>269</v>
      </c>
      <c r="D191" s="4" t="s">
        <v>259</v>
      </c>
      <c r="E191" s="4" t="s">
        <v>462</v>
      </c>
      <c r="F191" s="4" t="s">
        <v>175</v>
      </c>
      <c r="G191" s="6"/>
      <c r="H191" s="53">
        <f>H193+H194+H192</f>
        <v>30789.7</v>
      </c>
      <c r="I191" s="53">
        <f>I193+I194+I192</f>
        <v>0</v>
      </c>
      <c r="J191" s="53">
        <f>J193+J194+J192</f>
        <v>30731.300000000003</v>
      </c>
      <c r="K191" s="53">
        <f>K193+K194+K192</f>
        <v>0</v>
      </c>
      <c r="L191" s="63"/>
    </row>
    <row r="192" spans="1:12" s="49" customFormat="1" ht="34.5" customHeight="1">
      <c r="A192" s="7" t="s">
        <v>430</v>
      </c>
      <c r="B192" s="4" t="s">
        <v>332</v>
      </c>
      <c r="C192" s="4" t="s">
        <v>269</v>
      </c>
      <c r="D192" s="4" t="s">
        <v>259</v>
      </c>
      <c r="E192" s="4" t="s">
        <v>462</v>
      </c>
      <c r="F192" s="4"/>
      <c r="G192" s="6" t="s">
        <v>424</v>
      </c>
      <c r="H192" s="53">
        <v>542</v>
      </c>
      <c r="I192" s="53"/>
      <c r="J192" s="53">
        <v>541.9</v>
      </c>
      <c r="K192" s="53"/>
      <c r="L192" s="63"/>
    </row>
    <row r="193" spans="1:12" s="49" customFormat="1" ht="37.5" customHeight="1">
      <c r="A193" s="2" t="s">
        <v>431</v>
      </c>
      <c r="B193" s="4" t="s">
        <v>332</v>
      </c>
      <c r="C193" s="4" t="s">
        <v>269</v>
      </c>
      <c r="D193" s="4" t="s">
        <v>259</v>
      </c>
      <c r="E193" s="4" t="s">
        <v>462</v>
      </c>
      <c r="F193" s="4" t="s">
        <v>294</v>
      </c>
      <c r="G193" s="6" t="s">
        <v>421</v>
      </c>
      <c r="H193" s="53">
        <v>30140.8</v>
      </c>
      <c r="I193" s="53"/>
      <c r="J193" s="53">
        <v>30103.9</v>
      </c>
      <c r="K193" s="48"/>
      <c r="L193" s="63"/>
    </row>
    <row r="194" spans="1:12" s="49" customFormat="1" ht="48" customHeight="1">
      <c r="A194" s="47" t="s">
        <v>228</v>
      </c>
      <c r="B194" s="4" t="s">
        <v>332</v>
      </c>
      <c r="C194" s="4" t="s">
        <v>269</v>
      </c>
      <c r="D194" s="4" t="s">
        <v>259</v>
      </c>
      <c r="E194" s="4" t="s">
        <v>610</v>
      </c>
      <c r="F194" s="4"/>
      <c r="G194" s="6" t="s">
        <v>227</v>
      </c>
      <c r="H194" s="53">
        <f>125-18.1</f>
        <v>106.9</v>
      </c>
      <c r="I194" s="53"/>
      <c r="J194" s="53">
        <v>85.5</v>
      </c>
      <c r="K194" s="48"/>
      <c r="L194" s="63"/>
    </row>
    <row r="195" spans="1:12" s="49" customFormat="1" ht="15.75" customHeight="1">
      <c r="A195" s="47" t="s">
        <v>356</v>
      </c>
      <c r="B195" s="3" t="s">
        <v>332</v>
      </c>
      <c r="C195" s="3" t="s">
        <v>269</v>
      </c>
      <c r="D195" s="3" t="s">
        <v>260</v>
      </c>
      <c r="E195" s="4"/>
      <c r="F195" s="3"/>
      <c r="G195" s="3"/>
      <c r="H195" s="48">
        <f>H212+H203+H196</f>
        <v>117604.5</v>
      </c>
      <c r="I195" s="48">
        <f>I212+I203+I196</f>
        <v>12064</v>
      </c>
      <c r="J195" s="79">
        <f>J212+J203+J196</f>
        <v>117603.79999999999</v>
      </c>
      <c r="K195" s="48">
        <f>K212+K203+K196</f>
        <v>12063.5</v>
      </c>
      <c r="L195" s="63">
        <f>J195/H195*100</f>
        <v>99.99940478468085</v>
      </c>
    </row>
    <row r="196" spans="1:12" s="49" customFormat="1" ht="15">
      <c r="A196" s="2" t="s">
        <v>605</v>
      </c>
      <c r="B196" s="4" t="s">
        <v>332</v>
      </c>
      <c r="C196" s="4" t="s">
        <v>269</v>
      </c>
      <c r="D196" s="4" t="s">
        <v>260</v>
      </c>
      <c r="E196" s="4" t="s">
        <v>603</v>
      </c>
      <c r="F196" s="3"/>
      <c r="G196" s="3"/>
      <c r="H196" s="53">
        <f>H197</f>
        <v>40456.899999999994</v>
      </c>
      <c r="I196" s="53">
        <f>I197</f>
        <v>0</v>
      </c>
      <c r="J196" s="78">
        <f>J197</f>
        <v>40456.799999999996</v>
      </c>
      <c r="K196" s="53">
        <f>K197</f>
        <v>0</v>
      </c>
      <c r="L196" s="63"/>
    </row>
    <row r="197" spans="1:12" s="49" customFormat="1" ht="15">
      <c r="A197" s="2" t="s">
        <v>606</v>
      </c>
      <c r="B197" s="4" t="s">
        <v>332</v>
      </c>
      <c r="C197" s="4" t="s">
        <v>269</v>
      </c>
      <c r="D197" s="4" t="s">
        <v>260</v>
      </c>
      <c r="E197" s="4" t="s">
        <v>604</v>
      </c>
      <c r="F197" s="3"/>
      <c r="G197" s="3"/>
      <c r="H197" s="53">
        <f>H198+H200+H201</f>
        <v>40456.899999999994</v>
      </c>
      <c r="I197" s="53">
        <f>I198+I200+I201</f>
        <v>0</v>
      </c>
      <c r="J197" s="78">
        <f>J198+J200+J201</f>
        <v>40456.799999999996</v>
      </c>
      <c r="K197" s="53">
        <f>K198+K200+K201</f>
        <v>0</v>
      </c>
      <c r="L197" s="63"/>
    </row>
    <row r="198" spans="1:12" s="49" customFormat="1" ht="30" customHeight="1">
      <c r="A198" s="2" t="s">
        <v>431</v>
      </c>
      <c r="B198" s="4" t="s">
        <v>332</v>
      </c>
      <c r="C198" s="4" t="s">
        <v>269</v>
      </c>
      <c r="D198" s="4" t="s">
        <v>260</v>
      </c>
      <c r="E198" s="4" t="s">
        <v>604</v>
      </c>
      <c r="F198" s="3"/>
      <c r="G198" s="4" t="s">
        <v>421</v>
      </c>
      <c r="H198" s="53">
        <v>27.6</v>
      </c>
      <c r="I198" s="48"/>
      <c r="J198" s="78">
        <v>27.5</v>
      </c>
      <c r="K198" s="48"/>
      <c r="L198" s="63"/>
    </row>
    <row r="199" spans="1:12" s="49" customFormat="1" ht="15.75" customHeight="1">
      <c r="A199" s="2" t="s">
        <v>580</v>
      </c>
      <c r="B199" s="4" t="s">
        <v>332</v>
      </c>
      <c r="C199" s="4" t="s">
        <v>269</v>
      </c>
      <c r="D199" s="4" t="s">
        <v>260</v>
      </c>
      <c r="E199" s="4" t="s">
        <v>604</v>
      </c>
      <c r="F199" s="3"/>
      <c r="G199" s="4" t="s">
        <v>108</v>
      </c>
      <c r="H199" s="53">
        <f>H200+H201</f>
        <v>40429.299999999996</v>
      </c>
      <c r="I199" s="53">
        <f>I200+I201</f>
        <v>0</v>
      </c>
      <c r="J199" s="53">
        <f>J200+J201</f>
        <v>40429.299999999996</v>
      </c>
      <c r="K199" s="53">
        <f>K200+K201</f>
        <v>0</v>
      </c>
      <c r="L199" s="63"/>
    </row>
    <row r="200" spans="1:12" s="49" customFormat="1" ht="50.25" customHeight="1">
      <c r="A200" s="2" t="s">
        <v>461</v>
      </c>
      <c r="B200" s="4" t="s">
        <v>332</v>
      </c>
      <c r="C200" s="4" t="s">
        <v>269</v>
      </c>
      <c r="D200" s="4" t="s">
        <v>260</v>
      </c>
      <c r="E200" s="4" t="s">
        <v>604</v>
      </c>
      <c r="F200" s="3"/>
      <c r="G200" s="4" t="s">
        <v>460</v>
      </c>
      <c r="H200" s="53">
        <f>50000-9782.9</f>
        <v>40217.1</v>
      </c>
      <c r="I200" s="48"/>
      <c r="J200" s="53">
        <v>40217.1</v>
      </c>
      <c r="K200" s="48"/>
      <c r="L200" s="63"/>
    </row>
    <row r="201" spans="1:12" s="49" customFormat="1" ht="18.75" customHeight="1">
      <c r="A201" s="2" t="s">
        <v>581</v>
      </c>
      <c r="B201" s="4" t="s">
        <v>332</v>
      </c>
      <c r="C201" s="4" t="s">
        <v>269</v>
      </c>
      <c r="D201" s="4" t="s">
        <v>260</v>
      </c>
      <c r="E201" s="4" t="s">
        <v>604</v>
      </c>
      <c r="F201" s="3"/>
      <c r="G201" s="4" t="s">
        <v>579</v>
      </c>
      <c r="H201" s="53">
        <f>H202</f>
        <v>212.2</v>
      </c>
      <c r="I201" s="53">
        <f>I202</f>
        <v>0</v>
      </c>
      <c r="J201" s="53">
        <f>J202</f>
        <v>212.2</v>
      </c>
      <c r="K201" s="53">
        <f>K202</f>
        <v>0</v>
      </c>
      <c r="L201" s="63"/>
    </row>
    <row r="202" spans="1:12" s="49" customFormat="1" ht="22.5" customHeight="1">
      <c r="A202" s="56" t="s">
        <v>582</v>
      </c>
      <c r="B202" s="4" t="s">
        <v>332</v>
      </c>
      <c r="C202" s="4" t="s">
        <v>269</v>
      </c>
      <c r="D202" s="4" t="s">
        <v>260</v>
      </c>
      <c r="E202" s="4" t="s">
        <v>604</v>
      </c>
      <c r="F202" s="3"/>
      <c r="G202" s="4" t="s">
        <v>578</v>
      </c>
      <c r="H202" s="53">
        <v>212.2</v>
      </c>
      <c r="I202" s="48"/>
      <c r="J202" s="53">
        <v>212.2</v>
      </c>
      <c r="K202" s="48"/>
      <c r="L202" s="63"/>
    </row>
    <row r="203" spans="1:12" s="49" customFormat="1" ht="15">
      <c r="A203" s="2" t="s">
        <v>530</v>
      </c>
      <c r="B203" s="4" t="s">
        <v>332</v>
      </c>
      <c r="C203" s="4" t="s">
        <v>269</v>
      </c>
      <c r="D203" s="4" t="s">
        <v>260</v>
      </c>
      <c r="E203" s="4" t="s">
        <v>528</v>
      </c>
      <c r="F203" s="3"/>
      <c r="G203" s="3"/>
      <c r="H203" s="53">
        <f>H204+H207+H209</f>
        <v>53590.5</v>
      </c>
      <c r="I203" s="53">
        <f>I204+I207+I209</f>
        <v>12064</v>
      </c>
      <c r="J203" s="53">
        <f>J204+J207+J209</f>
        <v>53590</v>
      </c>
      <c r="K203" s="53">
        <f>K204+K207+K209</f>
        <v>12063.5</v>
      </c>
      <c r="L203" s="63"/>
    </row>
    <row r="204" spans="1:12" s="49" customFormat="1" ht="32.25" customHeight="1">
      <c r="A204" s="2" t="s">
        <v>12</v>
      </c>
      <c r="B204" s="4" t="s">
        <v>332</v>
      </c>
      <c r="C204" s="4" t="s">
        <v>269</v>
      </c>
      <c r="D204" s="4" t="s">
        <v>260</v>
      </c>
      <c r="E204" s="4" t="s">
        <v>537</v>
      </c>
      <c r="F204" s="3"/>
      <c r="G204" s="3"/>
      <c r="H204" s="53">
        <f>H205</f>
        <v>720.2</v>
      </c>
      <c r="I204" s="53">
        <f aca="true" t="shared" si="13" ref="I204:K205">I205</f>
        <v>0</v>
      </c>
      <c r="J204" s="53">
        <f t="shared" si="13"/>
        <v>720.2</v>
      </c>
      <c r="K204" s="53">
        <f t="shared" si="13"/>
        <v>0</v>
      </c>
      <c r="L204" s="63"/>
    </row>
    <row r="205" spans="1:12" s="49" customFormat="1" ht="29.25">
      <c r="A205" s="2" t="s">
        <v>557</v>
      </c>
      <c r="B205" s="4" t="s">
        <v>332</v>
      </c>
      <c r="C205" s="4" t="s">
        <v>269</v>
      </c>
      <c r="D205" s="4" t="s">
        <v>260</v>
      </c>
      <c r="E205" s="4" t="s">
        <v>535</v>
      </c>
      <c r="F205" s="3"/>
      <c r="G205" s="3"/>
      <c r="H205" s="53">
        <f>H206</f>
        <v>720.2</v>
      </c>
      <c r="I205" s="53">
        <f t="shared" si="13"/>
        <v>0</v>
      </c>
      <c r="J205" s="53">
        <f t="shared" si="13"/>
        <v>720.2</v>
      </c>
      <c r="K205" s="53">
        <f t="shared" si="13"/>
        <v>0</v>
      </c>
      <c r="L205" s="63"/>
    </row>
    <row r="206" spans="1:12" s="49" customFormat="1" ht="72.75">
      <c r="A206" s="47" t="s">
        <v>229</v>
      </c>
      <c r="B206" s="4" t="s">
        <v>332</v>
      </c>
      <c r="C206" s="4" t="s">
        <v>269</v>
      </c>
      <c r="D206" s="4" t="s">
        <v>260</v>
      </c>
      <c r="E206" s="4" t="s">
        <v>535</v>
      </c>
      <c r="F206" s="4" t="s">
        <v>406</v>
      </c>
      <c r="G206" s="4" t="s">
        <v>227</v>
      </c>
      <c r="H206" s="53">
        <v>720.2</v>
      </c>
      <c r="I206" s="48"/>
      <c r="J206" s="53">
        <v>720.2</v>
      </c>
      <c r="K206" s="48"/>
      <c r="L206" s="63"/>
    </row>
    <row r="207" spans="1:12" s="49" customFormat="1" ht="34.5" customHeight="1">
      <c r="A207" s="2" t="s">
        <v>11</v>
      </c>
      <c r="B207" s="4" t="s">
        <v>332</v>
      </c>
      <c r="C207" s="4" t="s">
        <v>269</v>
      </c>
      <c r="D207" s="4" t="s">
        <v>260</v>
      </c>
      <c r="E207" s="4" t="s">
        <v>536</v>
      </c>
      <c r="F207" s="4"/>
      <c r="G207" s="4"/>
      <c r="H207" s="53">
        <f>H208</f>
        <v>40806.3</v>
      </c>
      <c r="I207" s="53">
        <f>I208</f>
        <v>0</v>
      </c>
      <c r="J207" s="53">
        <f>J208</f>
        <v>40806.3</v>
      </c>
      <c r="K207" s="53">
        <f>K208</f>
        <v>0</v>
      </c>
      <c r="L207" s="63"/>
    </row>
    <row r="208" spans="1:12" s="49" customFormat="1" ht="29.25">
      <c r="A208" s="7" t="s">
        <v>432</v>
      </c>
      <c r="B208" s="4" t="s">
        <v>332</v>
      </c>
      <c r="C208" s="4" t="s">
        <v>269</v>
      </c>
      <c r="D208" s="4" t="s">
        <v>260</v>
      </c>
      <c r="E208" s="4" t="s">
        <v>536</v>
      </c>
      <c r="F208" s="4" t="s">
        <v>424</v>
      </c>
      <c r="G208" s="4" t="s">
        <v>424</v>
      </c>
      <c r="H208" s="53">
        <v>40806.3</v>
      </c>
      <c r="I208" s="48"/>
      <c r="J208" s="53">
        <v>40806.3</v>
      </c>
      <c r="K208" s="48"/>
      <c r="L208" s="63"/>
    </row>
    <row r="209" spans="1:12" s="49" customFormat="1" ht="43.5">
      <c r="A209" s="7" t="s">
        <v>564</v>
      </c>
      <c r="B209" s="4" t="s">
        <v>332</v>
      </c>
      <c r="C209" s="4" t="s">
        <v>269</v>
      </c>
      <c r="D209" s="4" t="s">
        <v>260</v>
      </c>
      <c r="E209" s="4" t="s">
        <v>558</v>
      </c>
      <c r="F209" s="4"/>
      <c r="G209" s="4"/>
      <c r="H209" s="53">
        <f>H210</f>
        <v>12064</v>
      </c>
      <c r="I209" s="53">
        <f aca="true" t="shared" si="14" ref="I209:K210">I210</f>
        <v>12064</v>
      </c>
      <c r="J209" s="53">
        <f t="shared" si="14"/>
        <v>12063.5</v>
      </c>
      <c r="K209" s="53">
        <f t="shared" si="14"/>
        <v>12063.5</v>
      </c>
      <c r="L209" s="63"/>
    </row>
    <row r="210" spans="1:12" s="49" customFormat="1" ht="45.75" customHeight="1">
      <c r="A210" s="7" t="s">
        <v>515</v>
      </c>
      <c r="B210" s="4" t="s">
        <v>332</v>
      </c>
      <c r="C210" s="4" t="s">
        <v>269</v>
      </c>
      <c r="D210" s="4" t="s">
        <v>260</v>
      </c>
      <c r="E210" s="4" t="s">
        <v>514</v>
      </c>
      <c r="F210" s="4"/>
      <c r="G210" s="4"/>
      <c r="H210" s="53">
        <f>H211</f>
        <v>12064</v>
      </c>
      <c r="I210" s="53">
        <f t="shared" si="14"/>
        <v>12064</v>
      </c>
      <c r="J210" s="53">
        <f t="shared" si="14"/>
        <v>12063.5</v>
      </c>
      <c r="K210" s="53">
        <f t="shared" si="14"/>
        <v>12063.5</v>
      </c>
      <c r="L210" s="63"/>
    </row>
    <row r="211" spans="1:12" s="49" customFormat="1" ht="29.25">
      <c r="A211" s="7" t="s">
        <v>432</v>
      </c>
      <c r="B211" s="4" t="s">
        <v>332</v>
      </c>
      <c r="C211" s="4" t="s">
        <v>269</v>
      </c>
      <c r="D211" s="4" t="s">
        <v>260</v>
      </c>
      <c r="E211" s="4" t="s">
        <v>514</v>
      </c>
      <c r="F211" s="4"/>
      <c r="G211" s="4" t="s">
        <v>424</v>
      </c>
      <c r="H211" s="53">
        <f>12389-325</f>
        <v>12064</v>
      </c>
      <c r="I211" s="53">
        <f>12389-325</f>
        <v>12064</v>
      </c>
      <c r="J211" s="53">
        <v>12063.5</v>
      </c>
      <c r="K211" s="53">
        <v>12063.5</v>
      </c>
      <c r="L211" s="63"/>
    </row>
    <row r="212" spans="1:12" s="49" customFormat="1" ht="15">
      <c r="A212" s="2" t="s">
        <v>223</v>
      </c>
      <c r="B212" s="4" t="s">
        <v>332</v>
      </c>
      <c r="C212" s="4" t="s">
        <v>269</v>
      </c>
      <c r="D212" s="4" t="s">
        <v>260</v>
      </c>
      <c r="E212" s="4" t="s">
        <v>224</v>
      </c>
      <c r="F212" s="4"/>
      <c r="G212" s="6"/>
      <c r="H212" s="53">
        <f>H213</f>
        <v>23557.1</v>
      </c>
      <c r="I212" s="53">
        <f aca="true" t="shared" si="15" ref="I212:K213">I213</f>
        <v>0</v>
      </c>
      <c r="J212" s="53">
        <f t="shared" si="15"/>
        <v>23557</v>
      </c>
      <c r="K212" s="53">
        <f t="shared" si="15"/>
        <v>0</v>
      </c>
      <c r="L212" s="63"/>
    </row>
    <row r="213" spans="1:12" s="49" customFormat="1" ht="43.5">
      <c r="A213" s="7" t="s">
        <v>367</v>
      </c>
      <c r="B213" s="4" t="s">
        <v>332</v>
      </c>
      <c r="C213" s="4" t="s">
        <v>269</v>
      </c>
      <c r="D213" s="4" t="s">
        <v>260</v>
      </c>
      <c r="E213" s="4" t="s">
        <v>348</v>
      </c>
      <c r="F213" s="4"/>
      <c r="G213" s="6"/>
      <c r="H213" s="77">
        <f>H214</f>
        <v>23557.1</v>
      </c>
      <c r="I213" s="77">
        <f t="shared" si="15"/>
        <v>0</v>
      </c>
      <c r="J213" s="77">
        <f t="shared" si="15"/>
        <v>23557</v>
      </c>
      <c r="K213" s="77">
        <f t="shared" si="15"/>
        <v>0</v>
      </c>
      <c r="L213" s="63"/>
    </row>
    <row r="214" spans="1:12" s="49" customFormat="1" ht="29.25">
      <c r="A214" s="7" t="s">
        <v>432</v>
      </c>
      <c r="B214" s="4" t="s">
        <v>332</v>
      </c>
      <c r="C214" s="4" t="s">
        <v>269</v>
      </c>
      <c r="D214" s="4" t="s">
        <v>260</v>
      </c>
      <c r="E214" s="4" t="s">
        <v>348</v>
      </c>
      <c r="F214" s="4"/>
      <c r="G214" s="6" t="s">
        <v>424</v>
      </c>
      <c r="H214" s="77">
        <f>3750.5+5368+10000+3734.2+7282.9-147.8-6564.3+133.6</f>
        <v>23557.1</v>
      </c>
      <c r="I214" s="53"/>
      <c r="J214" s="53">
        <v>23557</v>
      </c>
      <c r="K214" s="48"/>
      <c r="L214" s="63"/>
    </row>
    <row r="215" spans="1:12" ht="18.75" customHeight="1">
      <c r="A215" s="47" t="s">
        <v>226</v>
      </c>
      <c r="B215" s="3" t="s">
        <v>332</v>
      </c>
      <c r="C215" s="3" t="s">
        <v>269</v>
      </c>
      <c r="D215" s="3" t="s">
        <v>264</v>
      </c>
      <c r="E215" s="3"/>
      <c r="F215" s="3"/>
      <c r="G215" s="6"/>
      <c r="H215" s="76">
        <f>H216+H226+H230+H232</f>
        <v>70244.1</v>
      </c>
      <c r="I215" s="76">
        <f>I216+I226+I230+I232</f>
        <v>140</v>
      </c>
      <c r="J215" s="76">
        <f>J216+J226+J230+J232</f>
        <v>66882.3</v>
      </c>
      <c r="K215" s="76">
        <f>K216+K226+K230+K232</f>
        <v>140</v>
      </c>
      <c r="L215" s="63">
        <f>J215/H215*100</f>
        <v>95.21411762696084</v>
      </c>
    </row>
    <row r="216" spans="1:12" ht="57" customHeight="1">
      <c r="A216" s="2" t="s">
        <v>296</v>
      </c>
      <c r="B216" s="4" t="s">
        <v>332</v>
      </c>
      <c r="C216" s="4" t="s">
        <v>269</v>
      </c>
      <c r="D216" s="4" t="s">
        <v>264</v>
      </c>
      <c r="E216" s="4" t="s">
        <v>293</v>
      </c>
      <c r="F216" s="3"/>
      <c r="G216" s="6"/>
      <c r="H216" s="77">
        <f>H217</f>
        <v>1636.7</v>
      </c>
      <c r="I216" s="77">
        <f>I217</f>
        <v>0</v>
      </c>
      <c r="J216" s="77">
        <f>J217</f>
        <v>1613.8</v>
      </c>
      <c r="K216" s="77">
        <f>K217</f>
        <v>0</v>
      </c>
      <c r="L216" s="83"/>
    </row>
    <row r="217" spans="1:12" ht="30" customHeight="1">
      <c r="A217" s="2" t="s">
        <v>157</v>
      </c>
      <c r="B217" s="4" t="s">
        <v>332</v>
      </c>
      <c r="C217" s="4" t="s">
        <v>269</v>
      </c>
      <c r="D217" s="4" t="s">
        <v>264</v>
      </c>
      <c r="E217" s="4" t="s">
        <v>45</v>
      </c>
      <c r="F217" s="3"/>
      <c r="G217" s="6"/>
      <c r="H217" s="77">
        <f>H218+H220+H223</f>
        <v>1636.7</v>
      </c>
      <c r="I217" s="77">
        <f>I218+I220+I223</f>
        <v>0</v>
      </c>
      <c r="J217" s="77">
        <f>J218+J220+J223</f>
        <v>1613.8</v>
      </c>
      <c r="K217" s="77">
        <f>K218+K220+K223</f>
        <v>0</v>
      </c>
      <c r="L217" s="83"/>
    </row>
    <row r="218" spans="1:12" ht="18.75" customHeight="1">
      <c r="A218" s="2" t="s">
        <v>555</v>
      </c>
      <c r="B218" s="4" t="s">
        <v>332</v>
      </c>
      <c r="C218" s="4" t="s">
        <v>269</v>
      </c>
      <c r="D218" s="4" t="s">
        <v>264</v>
      </c>
      <c r="E218" s="4" t="s">
        <v>45</v>
      </c>
      <c r="F218" s="3"/>
      <c r="G218" s="6" t="s">
        <v>534</v>
      </c>
      <c r="H218" s="77">
        <f>H219</f>
        <v>1085.3</v>
      </c>
      <c r="I218" s="77">
        <f>I219</f>
        <v>0</v>
      </c>
      <c r="J218" s="77">
        <f>J219</f>
        <v>1081.2</v>
      </c>
      <c r="K218" s="77">
        <f>K219</f>
        <v>0</v>
      </c>
      <c r="L218" s="83"/>
    </row>
    <row r="219" spans="1:12" ht="18.75" customHeight="1">
      <c r="A219" s="2" t="s">
        <v>415</v>
      </c>
      <c r="B219" s="4" t="s">
        <v>332</v>
      </c>
      <c r="C219" s="4" t="s">
        <v>269</v>
      </c>
      <c r="D219" s="4" t="s">
        <v>264</v>
      </c>
      <c r="E219" s="4" t="s">
        <v>45</v>
      </c>
      <c r="F219" s="3"/>
      <c r="G219" s="6" t="s">
        <v>443</v>
      </c>
      <c r="H219" s="77">
        <v>1085.3</v>
      </c>
      <c r="I219" s="48"/>
      <c r="J219" s="53">
        <v>1081.2</v>
      </c>
      <c r="K219" s="53"/>
      <c r="L219" s="83"/>
    </row>
    <row r="220" spans="1:12" ht="30" customHeight="1">
      <c r="A220" s="2" t="s">
        <v>599</v>
      </c>
      <c r="B220" s="4" t="s">
        <v>332</v>
      </c>
      <c r="C220" s="4" t="s">
        <v>269</v>
      </c>
      <c r="D220" s="4" t="s">
        <v>264</v>
      </c>
      <c r="E220" s="4" t="s">
        <v>45</v>
      </c>
      <c r="F220" s="3"/>
      <c r="G220" s="6" t="s">
        <v>526</v>
      </c>
      <c r="H220" s="77">
        <f>H221+H222</f>
        <v>540.6</v>
      </c>
      <c r="I220" s="77">
        <f>I221+I222</f>
        <v>0</v>
      </c>
      <c r="J220" s="77">
        <f>J221+J222</f>
        <v>532.5999999999999</v>
      </c>
      <c r="K220" s="77">
        <f>K221+K222</f>
        <v>0</v>
      </c>
      <c r="L220" s="83"/>
    </row>
    <row r="221" spans="1:12" ht="33" customHeight="1">
      <c r="A221" s="2" t="s">
        <v>440</v>
      </c>
      <c r="B221" s="4" t="s">
        <v>332</v>
      </c>
      <c r="C221" s="4" t="s">
        <v>269</v>
      </c>
      <c r="D221" s="4" t="s">
        <v>264</v>
      </c>
      <c r="E221" s="4" t="s">
        <v>45</v>
      </c>
      <c r="F221" s="3"/>
      <c r="G221" s="6" t="s">
        <v>437</v>
      </c>
      <c r="H221" s="77">
        <v>355.5</v>
      </c>
      <c r="I221" s="48"/>
      <c r="J221" s="53">
        <v>348.9</v>
      </c>
      <c r="K221" s="53"/>
      <c r="L221" s="83"/>
    </row>
    <row r="222" spans="1:12" ht="33" customHeight="1">
      <c r="A222" s="2" t="s">
        <v>599</v>
      </c>
      <c r="B222" s="4" t="s">
        <v>332</v>
      </c>
      <c r="C222" s="4" t="s">
        <v>269</v>
      </c>
      <c r="D222" s="4" t="s">
        <v>264</v>
      </c>
      <c r="E222" s="4" t="s">
        <v>45</v>
      </c>
      <c r="F222" s="3"/>
      <c r="G222" s="6" t="s">
        <v>421</v>
      </c>
      <c r="H222" s="77">
        <v>185.1</v>
      </c>
      <c r="I222" s="48"/>
      <c r="J222" s="53">
        <v>183.7</v>
      </c>
      <c r="K222" s="53"/>
      <c r="L222" s="83"/>
    </row>
    <row r="223" spans="1:12" ht="18" customHeight="1">
      <c r="A223" s="2" t="s">
        <v>553</v>
      </c>
      <c r="B223" s="4" t="s">
        <v>332</v>
      </c>
      <c r="C223" s="4" t="s">
        <v>269</v>
      </c>
      <c r="D223" s="4" t="s">
        <v>264</v>
      </c>
      <c r="E223" s="4" t="s">
        <v>45</v>
      </c>
      <c r="F223" s="3"/>
      <c r="G223" s="6" t="s">
        <v>527</v>
      </c>
      <c r="H223" s="77">
        <f>H224+H225</f>
        <v>10.799999999999999</v>
      </c>
      <c r="I223" s="77">
        <f>I224+I225</f>
        <v>0</v>
      </c>
      <c r="J223" s="77">
        <f>J224+J225</f>
        <v>0</v>
      </c>
      <c r="K223" s="77">
        <f>K224+K225</f>
        <v>0</v>
      </c>
      <c r="L223" s="83"/>
    </row>
    <row r="224" spans="1:12" ht="26.25" customHeight="1">
      <c r="A224" s="2" t="s">
        <v>113</v>
      </c>
      <c r="B224" s="4" t="s">
        <v>332</v>
      </c>
      <c r="C224" s="4" t="s">
        <v>269</v>
      </c>
      <c r="D224" s="4" t="s">
        <v>264</v>
      </c>
      <c r="E224" s="4" t="s">
        <v>45</v>
      </c>
      <c r="F224" s="3"/>
      <c r="G224" s="6" t="s">
        <v>418</v>
      </c>
      <c r="H224" s="77">
        <v>0.6</v>
      </c>
      <c r="I224" s="48"/>
      <c r="J224" s="53"/>
      <c r="K224" s="53"/>
      <c r="L224" s="83"/>
    </row>
    <row r="225" spans="1:12" ht="26.25" customHeight="1">
      <c r="A225" s="2" t="s">
        <v>442</v>
      </c>
      <c r="B225" s="4" t="s">
        <v>332</v>
      </c>
      <c r="C225" s="4" t="s">
        <v>269</v>
      </c>
      <c r="D225" s="4" t="s">
        <v>264</v>
      </c>
      <c r="E225" s="4" t="s">
        <v>45</v>
      </c>
      <c r="F225" s="3"/>
      <c r="G225" s="6" t="s">
        <v>441</v>
      </c>
      <c r="H225" s="77">
        <v>10.2</v>
      </c>
      <c r="I225" s="48"/>
      <c r="J225" s="53"/>
      <c r="K225" s="53"/>
      <c r="L225" s="83">
        <f>K219+K221+K222+K225</f>
        <v>0</v>
      </c>
    </row>
    <row r="226" spans="1:12" ht="18.75" customHeight="1">
      <c r="A226" s="2" t="s">
        <v>220</v>
      </c>
      <c r="B226" s="4" t="s">
        <v>332</v>
      </c>
      <c r="C226" s="4" t="s">
        <v>269</v>
      </c>
      <c r="D226" s="4" t="s">
        <v>264</v>
      </c>
      <c r="E226" s="4" t="s">
        <v>200</v>
      </c>
      <c r="F226" s="3"/>
      <c r="G226" s="6"/>
      <c r="H226" s="77">
        <f aca="true" t="shared" si="16" ref="H226:K228">H227</f>
        <v>140</v>
      </c>
      <c r="I226" s="77">
        <f t="shared" si="16"/>
        <v>140</v>
      </c>
      <c r="J226" s="77">
        <f t="shared" si="16"/>
        <v>140</v>
      </c>
      <c r="K226" s="77">
        <f t="shared" si="16"/>
        <v>140</v>
      </c>
      <c r="L226" s="83"/>
    </row>
    <row r="227" spans="1:12" ht="90.75" customHeight="1">
      <c r="A227" s="2" t="s">
        <v>59</v>
      </c>
      <c r="B227" s="4" t="s">
        <v>332</v>
      </c>
      <c r="C227" s="4" t="s">
        <v>269</v>
      </c>
      <c r="D227" s="4" t="s">
        <v>264</v>
      </c>
      <c r="E227" s="4" t="s">
        <v>58</v>
      </c>
      <c r="F227" s="3"/>
      <c r="G227" s="6"/>
      <c r="H227" s="53">
        <f t="shared" si="16"/>
        <v>140</v>
      </c>
      <c r="I227" s="53">
        <f t="shared" si="16"/>
        <v>140</v>
      </c>
      <c r="J227" s="53">
        <f t="shared" si="16"/>
        <v>140</v>
      </c>
      <c r="K227" s="53">
        <f t="shared" si="16"/>
        <v>140</v>
      </c>
      <c r="L227" s="83"/>
    </row>
    <row r="228" spans="1:12" ht="36" customHeight="1">
      <c r="A228" s="2" t="s">
        <v>57</v>
      </c>
      <c r="B228" s="4" t="s">
        <v>332</v>
      </c>
      <c r="C228" s="4" t="s">
        <v>269</v>
      </c>
      <c r="D228" s="4" t="s">
        <v>264</v>
      </c>
      <c r="E228" s="4" t="s">
        <v>56</v>
      </c>
      <c r="F228" s="3"/>
      <c r="G228" s="6"/>
      <c r="H228" s="53">
        <f t="shared" si="16"/>
        <v>140</v>
      </c>
      <c r="I228" s="53">
        <f t="shared" si="16"/>
        <v>140</v>
      </c>
      <c r="J228" s="53">
        <f t="shared" si="16"/>
        <v>140</v>
      </c>
      <c r="K228" s="53">
        <f t="shared" si="16"/>
        <v>140</v>
      </c>
      <c r="L228" s="83"/>
    </row>
    <row r="229" spans="1:12" ht="29.25" customHeight="1">
      <c r="A229" s="2" t="s">
        <v>431</v>
      </c>
      <c r="B229" s="4" t="s">
        <v>332</v>
      </c>
      <c r="C229" s="4" t="s">
        <v>269</v>
      </c>
      <c r="D229" s="4" t="s">
        <v>264</v>
      </c>
      <c r="E229" s="4" t="s">
        <v>56</v>
      </c>
      <c r="F229" s="3"/>
      <c r="G229" s="6" t="s">
        <v>421</v>
      </c>
      <c r="H229" s="53">
        <v>140</v>
      </c>
      <c r="I229" s="53">
        <v>140</v>
      </c>
      <c r="J229" s="53">
        <v>140</v>
      </c>
      <c r="K229" s="53">
        <v>140</v>
      </c>
      <c r="L229" s="53"/>
    </row>
    <row r="230" spans="1:12" ht="29.25" customHeight="1">
      <c r="A230" s="2" t="s">
        <v>386</v>
      </c>
      <c r="B230" s="4" t="s">
        <v>332</v>
      </c>
      <c r="C230" s="4" t="s">
        <v>269</v>
      </c>
      <c r="D230" s="4" t="s">
        <v>264</v>
      </c>
      <c r="E230" s="4" t="s">
        <v>385</v>
      </c>
      <c r="F230" s="3"/>
      <c r="G230" s="6"/>
      <c r="H230" s="53">
        <f>H231</f>
        <v>105.3</v>
      </c>
      <c r="I230" s="53">
        <f>I231</f>
        <v>0</v>
      </c>
      <c r="J230" s="53">
        <f>J231</f>
        <v>105.3</v>
      </c>
      <c r="K230" s="53">
        <f>K231</f>
        <v>0</v>
      </c>
      <c r="L230" s="83"/>
    </row>
    <row r="231" spans="1:12" ht="29.25" customHeight="1">
      <c r="A231" s="2" t="s">
        <v>431</v>
      </c>
      <c r="B231" s="4" t="s">
        <v>332</v>
      </c>
      <c r="C231" s="4" t="s">
        <v>269</v>
      </c>
      <c r="D231" s="4" t="s">
        <v>264</v>
      </c>
      <c r="E231" s="4" t="s">
        <v>385</v>
      </c>
      <c r="F231" s="3"/>
      <c r="G231" s="6" t="s">
        <v>421</v>
      </c>
      <c r="H231" s="53">
        <f>105.3</f>
        <v>105.3</v>
      </c>
      <c r="I231" s="53"/>
      <c r="J231" s="53">
        <v>105.3</v>
      </c>
      <c r="K231" s="53"/>
      <c r="L231" s="83"/>
    </row>
    <row r="232" spans="1:12" ht="18" customHeight="1">
      <c r="A232" s="2" t="s">
        <v>223</v>
      </c>
      <c r="B232" s="4" t="s">
        <v>332</v>
      </c>
      <c r="C232" s="4" t="s">
        <v>269</v>
      </c>
      <c r="D232" s="4" t="s">
        <v>264</v>
      </c>
      <c r="E232" s="4" t="s">
        <v>224</v>
      </c>
      <c r="F232" s="4"/>
      <c r="G232" s="6"/>
      <c r="H232" s="53">
        <f>H233+H235</f>
        <v>68362.1</v>
      </c>
      <c r="I232" s="53">
        <f>I233+I235</f>
        <v>0</v>
      </c>
      <c r="J232" s="53">
        <f>J233+J235</f>
        <v>65023.200000000004</v>
      </c>
      <c r="K232" s="53">
        <f>K233+K235</f>
        <v>0</v>
      </c>
      <c r="L232" s="83"/>
    </row>
    <row r="233" spans="1:12" s="49" customFormat="1" ht="44.25" customHeight="1">
      <c r="A233" s="2" t="s">
        <v>371</v>
      </c>
      <c r="B233" s="4" t="s">
        <v>332</v>
      </c>
      <c r="C233" s="4" t="s">
        <v>269</v>
      </c>
      <c r="D233" s="4" t="s">
        <v>264</v>
      </c>
      <c r="E233" s="4" t="s">
        <v>374</v>
      </c>
      <c r="F233" s="4"/>
      <c r="G233" s="6"/>
      <c r="H233" s="53">
        <f>H234</f>
        <v>58162.1</v>
      </c>
      <c r="I233" s="53">
        <f>I234</f>
        <v>0</v>
      </c>
      <c r="J233" s="53">
        <f>J234</f>
        <v>54963.3</v>
      </c>
      <c r="K233" s="53">
        <f>K234</f>
        <v>0</v>
      </c>
      <c r="L233" s="63"/>
    </row>
    <row r="234" spans="1:12" ht="33" customHeight="1">
      <c r="A234" s="2" t="s">
        <v>431</v>
      </c>
      <c r="B234" s="4" t="s">
        <v>332</v>
      </c>
      <c r="C234" s="4" t="s">
        <v>269</v>
      </c>
      <c r="D234" s="4" t="s">
        <v>264</v>
      </c>
      <c r="E234" s="4" t="s">
        <v>374</v>
      </c>
      <c r="F234" s="4"/>
      <c r="G234" s="6" t="s">
        <v>421</v>
      </c>
      <c r="H234" s="53">
        <v>58162.1</v>
      </c>
      <c r="I234" s="53"/>
      <c r="J234" s="53">
        <v>54963.3</v>
      </c>
      <c r="K234" s="53"/>
      <c r="L234" s="83"/>
    </row>
    <row r="235" spans="1:12" ht="81" customHeight="1">
      <c r="A235" s="2" t="s">
        <v>511</v>
      </c>
      <c r="B235" s="4" t="s">
        <v>332</v>
      </c>
      <c r="C235" s="4" t="s">
        <v>269</v>
      </c>
      <c r="D235" s="4" t="s">
        <v>264</v>
      </c>
      <c r="E235" s="4" t="s">
        <v>381</v>
      </c>
      <c r="F235" s="4"/>
      <c r="G235" s="6"/>
      <c r="H235" s="53">
        <f>H236</f>
        <v>10200</v>
      </c>
      <c r="I235" s="53">
        <f>I236</f>
        <v>0</v>
      </c>
      <c r="J235" s="53">
        <f>J236</f>
        <v>10059.9</v>
      </c>
      <c r="K235" s="53">
        <f>K236</f>
        <v>0</v>
      </c>
      <c r="L235" s="83"/>
    </row>
    <row r="236" spans="1:12" ht="31.5" customHeight="1">
      <c r="A236" s="2" t="s">
        <v>431</v>
      </c>
      <c r="B236" s="4" t="s">
        <v>332</v>
      </c>
      <c r="C236" s="4" t="s">
        <v>269</v>
      </c>
      <c r="D236" s="4" t="s">
        <v>264</v>
      </c>
      <c r="E236" s="4" t="s">
        <v>381</v>
      </c>
      <c r="F236" s="4"/>
      <c r="G236" s="6" t="s">
        <v>421</v>
      </c>
      <c r="H236" s="53">
        <f>10000+200</f>
        <v>10200</v>
      </c>
      <c r="I236" s="53"/>
      <c r="J236" s="53">
        <v>10059.9</v>
      </c>
      <c r="K236" s="53"/>
      <c r="L236" s="83"/>
    </row>
    <row r="237" spans="1:12" ht="15">
      <c r="A237" s="47" t="s">
        <v>170</v>
      </c>
      <c r="B237" s="3" t="s">
        <v>332</v>
      </c>
      <c r="C237" s="3" t="s">
        <v>272</v>
      </c>
      <c r="D237" s="3"/>
      <c r="E237" s="3"/>
      <c r="F237" s="3"/>
      <c r="G237" s="5"/>
      <c r="H237" s="48">
        <f>H238</f>
        <v>3600</v>
      </c>
      <c r="I237" s="48">
        <f aca="true" t="shared" si="17" ref="I237:K239">I238</f>
        <v>0</v>
      </c>
      <c r="J237" s="48">
        <f t="shared" si="17"/>
        <v>3594.5</v>
      </c>
      <c r="K237" s="48">
        <f t="shared" si="17"/>
        <v>0</v>
      </c>
      <c r="L237" s="63">
        <f>J237/H237*100</f>
        <v>99.84722222222221</v>
      </c>
    </row>
    <row r="238" spans="1:12" ht="15">
      <c r="A238" s="47" t="s">
        <v>171</v>
      </c>
      <c r="B238" s="3" t="s">
        <v>332</v>
      </c>
      <c r="C238" s="3" t="s">
        <v>272</v>
      </c>
      <c r="D238" s="3" t="s">
        <v>269</v>
      </c>
      <c r="E238" s="3"/>
      <c r="F238" s="3"/>
      <c r="G238" s="6"/>
      <c r="H238" s="48">
        <f>H239</f>
        <v>3600</v>
      </c>
      <c r="I238" s="48">
        <f t="shared" si="17"/>
        <v>0</v>
      </c>
      <c r="J238" s="48">
        <f t="shared" si="17"/>
        <v>3594.5</v>
      </c>
      <c r="K238" s="48">
        <f t="shared" si="17"/>
        <v>0</v>
      </c>
      <c r="L238" s="63">
        <f>J238/H238*100</f>
        <v>99.84722222222221</v>
      </c>
    </row>
    <row r="239" spans="1:12" ht="14.25">
      <c r="A239" s="2" t="s">
        <v>223</v>
      </c>
      <c r="B239" s="4" t="s">
        <v>332</v>
      </c>
      <c r="C239" s="4" t="s">
        <v>272</v>
      </c>
      <c r="D239" s="4" t="s">
        <v>269</v>
      </c>
      <c r="E239" s="4" t="s">
        <v>224</v>
      </c>
      <c r="F239" s="4"/>
      <c r="G239" s="6"/>
      <c r="H239" s="53">
        <f>H240</f>
        <v>3600</v>
      </c>
      <c r="I239" s="53">
        <f t="shared" si="17"/>
        <v>0</v>
      </c>
      <c r="J239" s="53">
        <f t="shared" si="17"/>
        <v>3594.5</v>
      </c>
      <c r="K239" s="53">
        <f t="shared" si="17"/>
        <v>0</v>
      </c>
      <c r="L239" s="83"/>
    </row>
    <row r="240" spans="1:12" ht="60.75" customHeight="1">
      <c r="A240" s="7" t="s">
        <v>392</v>
      </c>
      <c r="B240" s="4" t="s">
        <v>332</v>
      </c>
      <c r="C240" s="4" t="s">
        <v>272</v>
      </c>
      <c r="D240" s="4" t="s">
        <v>269</v>
      </c>
      <c r="E240" s="4" t="s">
        <v>375</v>
      </c>
      <c r="F240" s="4"/>
      <c r="G240" s="6"/>
      <c r="H240" s="53">
        <f>H241+H242</f>
        <v>3600</v>
      </c>
      <c r="I240" s="53">
        <f>I241+I242</f>
        <v>0</v>
      </c>
      <c r="J240" s="53">
        <f>J241+J242</f>
        <v>3594.5</v>
      </c>
      <c r="K240" s="53">
        <f>K241+K242</f>
        <v>0</v>
      </c>
      <c r="L240" s="83"/>
    </row>
    <row r="241" spans="1:12" ht="36" customHeight="1">
      <c r="A241" s="2" t="s">
        <v>431</v>
      </c>
      <c r="B241" s="4" t="s">
        <v>332</v>
      </c>
      <c r="C241" s="4" t="s">
        <v>272</v>
      </c>
      <c r="D241" s="4" t="s">
        <v>269</v>
      </c>
      <c r="E241" s="4" t="s">
        <v>375</v>
      </c>
      <c r="F241" s="4"/>
      <c r="G241" s="6" t="s">
        <v>421</v>
      </c>
      <c r="H241" s="53">
        <f>1400-300</f>
        <v>1100</v>
      </c>
      <c r="I241" s="53"/>
      <c r="J241" s="53">
        <v>1094.5</v>
      </c>
      <c r="K241" s="53"/>
      <c r="L241" s="83"/>
    </row>
    <row r="242" spans="1:12" ht="48.75" customHeight="1">
      <c r="A242" s="56" t="s">
        <v>461</v>
      </c>
      <c r="B242" s="4" t="s">
        <v>332</v>
      </c>
      <c r="C242" s="4" t="s">
        <v>272</v>
      </c>
      <c r="D242" s="4" t="s">
        <v>269</v>
      </c>
      <c r="E242" s="4" t="s">
        <v>375</v>
      </c>
      <c r="F242" s="4"/>
      <c r="G242" s="6" t="s">
        <v>460</v>
      </c>
      <c r="H242" s="53">
        <v>2500</v>
      </c>
      <c r="I242" s="53"/>
      <c r="J242" s="53">
        <v>2500</v>
      </c>
      <c r="K242" s="53"/>
      <c r="L242" s="83"/>
    </row>
    <row r="243" spans="1:12" ht="15">
      <c r="A243" s="47" t="s">
        <v>145</v>
      </c>
      <c r="B243" s="3" t="s">
        <v>332</v>
      </c>
      <c r="C243" s="3" t="s">
        <v>267</v>
      </c>
      <c r="D243" s="4"/>
      <c r="E243" s="4"/>
      <c r="F243" s="4"/>
      <c r="G243" s="6"/>
      <c r="H243" s="48">
        <f>H244+H261+H257</f>
        <v>270630.19999999995</v>
      </c>
      <c r="I243" s="48">
        <f>I244+I261+I257</f>
        <v>134897.8</v>
      </c>
      <c r="J243" s="48">
        <f>J244+J261+J257</f>
        <v>212799.2</v>
      </c>
      <c r="K243" s="48">
        <f>K244+K261+K257</f>
        <v>134897.8</v>
      </c>
      <c r="L243" s="63">
        <f>J243/H243*100</f>
        <v>78.6309879680834</v>
      </c>
    </row>
    <row r="244" spans="1:12" ht="15">
      <c r="A244" s="47" t="s">
        <v>146</v>
      </c>
      <c r="B244" s="3" t="s">
        <v>332</v>
      </c>
      <c r="C244" s="3" t="s">
        <v>267</v>
      </c>
      <c r="D244" s="3" t="s">
        <v>259</v>
      </c>
      <c r="E244" s="4"/>
      <c r="F244" s="4"/>
      <c r="G244" s="6"/>
      <c r="H244" s="48">
        <f>H253+H249+H245</f>
        <v>268549.49999999994</v>
      </c>
      <c r="I244" s="48">
        <f>I253+I249+I245</f>
        <v>134897.8</v>
      </c>
      <c r="J244" s="48">
        <f>J253+J249+J245</f>
        <v>210718.5</v>
      </c>
      <c r="K244" s="48">
        <f>K253+K249+K245</f>
        <v>134897.8</v>
      </c>
      <c r="L244" s="63">
        <f>J244/H244*100</f>
        <v>78.46542257572628</v>
      </c>
    </row>
    <row r="245" spans="1:12" ht="14.25">
      <c r="A245" s="2" t="s">
        <v>530</v>
      </c>
      <c r="B245" s="4" t="s">
        <v>332</v>
      </c>
      <c r="C245" s="4" t="s">
        <v>267</v>
      </c>
      <c r="D245" s="4" t="s">
        <v>259</v>
      </c>
      <c r="E245" s="4" t="s">
        <v>528</v>
      </c>
      <c r="F245" s="4"/>
      <c r="G245" s="6"/>
      <c r="H245" s="53">
        <f>H246</f>
        <v>30811.2</v>
      </c>
      <c r="I245" s="53">
        <f aca="true" t="shared" si="18" ref="I245:K247">I246</f>
        <v>0</v>
      </c>
      <c r="J245" s="53">
        <f t="shared" si="18"/>
        <v>30811.2</v>
      </c>
      <c r="K245" s="53">
        <f t="shared" si="18"/>
        <v>0</v>
      </c>
      <c r="L245" s="83"/>
    </row>
    <row r="246" spans="1:12" ht="42.75">
      <c r="A246" s="2" t="s">
        <v>562</v>
      </c>
      <c r="B246" s="4" t="s">
        <v>332</v>
      </c>
      <c r="C246" s="4" t="s">
        <v>267</v>
      </c>
      <c r="D246" s="4" t="s">
        <v>259</v>
      </c>
      <c r="E246" s="4" t="s">
        <v>560</v>
      </c>
      <c r="F246" s="4"/>
      <c r="G246" s="6"/>
      <c r="H246" s="53">
        <f>H247</f>
        <v>30811.2</v>
      </c>
      <c r="I246" s="53">
        <f t="shared" si="18"/>
        <v>0</v>
      </c>
      <c r="J246" s="53">
        <f t="shared" si="18"/>
        <v>30811.2</v>
      </c>
      <c r="K246" s="53">
        <f t="shared" si="18"/>
        <v>0</v>
      </c>
      <c r="L246" s="83"/>
    </row>
    <row r="247" spans="1:12" ht="28.5">
      <c r="A247" s="2" t="s">
        <v>563</v>
      </c>
      <c r="B247" s="4" t="s">
        <v>332</v>
      </c>
      <c r="C247" s="4" t="s">
        <v>267</v>
      </c>
      <c r="D247" s="4" t="s">
        <v>259</v>
      </c>
      <c r="E247" s="4" t="s">
        <v>561</v>
      </c>
      <c r="F247" s="4"/>
      <c r="G247" s="6"/>
      <c r="H247" s="53">
        <f>H248</f>
        <v>30811.2</v>
      </c>
      <c r="I247" s="53">
        <f t="shared" si="18"/>
        <v>0</v>
      </c>
      <c r="J247" s="53">
        <f t="shared" si="18"/>
        <v>30811.2</v>
      </c>
      <c r="K247" s="53">
        <f t="shared" si="18"/>
        <v>0</v>
      </c>
      <c r="L247" s="83"/>
    </row>
    <row r="248" spans="1:12" ht="39.75" customHeight="1">
      <c r="A248" s="47" t="s">
        <v>234</v>
      </c>
      <c r="B248" s="4" t="s">
        <v>332</v>
      </c>
      <c r="C248" s="4" t="s">
        <v>267</v>
      </c>
      <c r="D248" s="4" t="s">
        <v>259</v>
      </c>
      <c r="E248" s="4" t="s">
        <v>561</v>
      </c>
      <c r="F248" s="4"/>
      <c r="G248" s="6" t="s">
        <v>227</v>
      </c>
      <c r="H248" s="53">
        <v>30811.2</v>
      </c>
      <c r="I248" s="53"/>
      <c r="J248" s="53">
        <v>30811.2</v>
      </c>
      <c r="K248" s="53"/>
      <c r="L248" s="83"/>
    </row>
    <row r="249" spans="1:12" ht="39.75" customHeight="1">
      <c r="A249" s="2" t="s">
        <v>516</v>
      </c>
      <c r="B249" s="4" t="s">
        <v>332</v>
      </c>
      <c r="C249" s="4" t="s">
        <v>267</v>
      </c>
      <c r="D249" s="4" t="s">
        <v>259</v>
      </c>
      <c r="E249" s="4" t="s">
        <v>513</v>
      </c>
      <c r="F249" s="4"/>
      <c r="G249" s="6"/>
      <c r="H249" s="53">
        <f>H250</f>
        <v>134897.8</v>
      </c>
      <c r="I249" s="53">
        <f>I250</f>
        <v>134897.8</v>
      </c>
      <c r="J249" s="53">
        <f>J250</f>
        <v>134897.8</v>
      </c>
      <c r="K249" s="53">
        <f>K250</f>
        <v>134897.8</v>
      </c>
      <c r="L249" s="83"/>
    </row>
    <row r="250" spans="1:12" ht="28.5">
      <c r="A250" s="2" t="s">
        <v>522</v>
      </c>
      <c r="B250" s="4" t="s">
        <v>332</v>
      </c>
      <c r="C250" s="4" t="s">
        <v>267</v>
      </c>
      <c r="D250" s="4" t="s">
        <v>259</v>
      </c>
      <c r="E250" s="4" t="s">
        <v>521</v>
      </c>
      <c r="F250" s="4"/>
      <c r="G250" s="6"/>
      <c r="H250" s="53">
        <f>H251+H252</f>
        <v>134897.8</v>
      </c>
      <c r="I250" s="53">
        <f>I251+I252</f>
        <v>134897.8</v>
      </c>
      <c r="J250" s="53">
        <f>J251+J252</f>
        <v>134897.8</v>
      </c>
      <c r="K250" s="53">
        <f>K251+K252</f>
        <v>134897.8</v>
      </c>
      <c r="L250" s="83"/>
    </row>
    <row r="251" spans="1:12" ht="56.25" customHeight="1">
      <c r="A251" s="47" t="s">
        <v>233</v>
      </c>
      <c r="B251" s="4" t="s">
        <v>332</v>
      </c>
      <c r="C251" s="4" t="s">
        <v>267</v>
      </c>
      <c r="D251" s="4" t="s">
        <v>259</v>
      </c>
      <c r="E251" s="4" t="s">
        <v>521</v>
      </c>
      <c r="F251" s="4"/>
      <c r="G251" s="6" t="s">
        <v>227</v>
      </c>
      <c r="H251" s="53">
        <f>98440+29938.8</f>
        <v>128378.8</v>
      </c>
      <c r="I251" s="53">
        <f>98440+29938.8</f>
        <v>128378.8</v>
      </c>
      <c r="J251" s="53">
        <v>128378.8</v>
      </c>
      <c r="K251" s="53">
        <v>128378.8</v>
      </c>
      <c r="L251" s="83"/>
    </row>
    <row r="252" spans="1:12" ht="56.25" customHeight="1">
      <c r="A252" s="47" t="s">
        <v>232</v>
      </c>
      <c r="B252" s="4" t="s">
        <v>332</v>
      </c>
      <c r="C252" s="4" t="s">
        <v>267</v>
      </c>
      <c r="D252" s="4" t="s">
        <v>259</v>
      </c>
      <c r="E252" s="4" t="s">
        <v>521</v>
      </c>
      <c r="F252" s="4"/>
      <c r="G252" s="6" t="s">
        <v>227</v>
      </c>
      <c r="H252" s="53">
        <v>6519</v>
      </c>
      <c r="I252" s="53">
        <v>6519</v>
      </c>
      <c r="J252" s="53">
        <v>6519</v>
      </c>
      <c r="K252" s="53">
        <v>6519</v>
      </c>
      <c r="L252" s="83"/>
    </row>
    <row r="253" spans="1:12" ht="21" customHeight="1">
      <c r="A253" s="2" t="s">
        <v>223</v>
      </c>
      <c r="B253" s="4" t="s">
        <v>332</v>
      </c>
      <c r="C253" s="4" t="s">
        <v>267</v>
      </c>
      <c r="D253" s="4" t="s">
        <v>259</v>
      </c>
      <c r="E253" s="4" t="s">
        <v>224</v>
      </c>
      <c r="F253" s="4"/>
      <c r="G253" s="6"/>
      <c r="H253" s="53">
        <f>H254</f>
        <v>102840.49999999997</v>
      </c>
      <c r="I253" s="53">
        <f>I254</f>
        <v>0</v>
      </c>
      <c r="J253" s="53">
        <f>J254</f>
        <v>45009.5</v>
      </c>
      <c r="K253" s="53">
        <f>K254</f>
        <v>0</v>
      </c>
      <c r="L253" s="83"/>
    </row>
    <row r="254" spans="1:12" ht="35.25" customHeight="1">
      <c r="A254" s="2" t="s">
        <v>477</v>
      </c>
      <c r="B254" s="4" t="s">
        <v>332</v>
      </c>
      <c r="C254" s="4" t="s">
        <v>267</v>
      </c>
      <c r="D254" s="4" t="s">
        <v>259</v>
      </c>
      <c r="E254" s="4" t="s">
        <v>377</v>
      </c>
      <c r="F254" s="4"/>
      <c r="G254" s="6"/>
      <c r="H254" s="53">
        <f>H255+H256</f>
        <v>102840.49999999997</v>
      </c>
      <c r="I254" s="53">
        <f>I255+I256</f>
        <v>0</v>
      </c>
      <c r="J254" s="53">
        <f>J255+J256</f>
        <v>45009.5</v>
      </c>
      <c r="K254" s="53">
        <f>K255+K256</f>
        <v>0</v>
      </c>
      <c r="L254" s="83"/>
    </row>
    <row r="255" spans="1:12" ht="57" customHeight="1">
      <c r="A255" s="47" t="s">
        <v>230</v>
      </c>
      <c r="B255" s="4" t="s">
        <v>332</v>
      </c>
      <c r="C255" s="4" t="s">
        <v>267</v>
      </c>
      <c r="D255" s="4" t="s">
        <v>259</v>
      </c>
      <c r="E255" s="4" t="s">
        <v>607</v>
      </c>
      <c r="F255" s="4"/>
      <c r="G255" s="6" t="s">
        <v>227</v>
      </c>
      <c r="H255" s="53">
        <f>89331+10674-21+375.5</f>
        <v>100359.5</v>
      </c>
      <c r="I255" s="53"/>
      <c r="J255" s="53">
        <v>43833.5</v>
      </c>
      <c r="K255" s="53"/>
      <c r="L255" s="83"/>
    </row>
    <row r="256" spans="1:12" ht="86.25">
      <c r="A256" s="47" t="s">
        <v>231</v>
      </c>
      <c r="B256" s="4" t="s">
        <v>332</v>
      </c>
      <c r="C256" s="4" t="s">
        <v>267</v>
      </c>
      <c r="D256" s="4" t="s">
        <v>259</v>
      </c>
      <c r="E256" s="4" t="s">
        <v>608</v>
      </c>
      <c r="F256" s="4"/>
      <c r="G256" s="6" t="s">
        <v>227</v>
      </c>
      <c r="H256" s="53">
        <f>180000+20000+2481-30494.2-1381.6-168124.2</f>
        <v>2480.999999999971</v>
      </c>
      <c r="I256" s="53"/>
      <c r="J256" s="53">
        <v>1176</v>
      </c>
      <c r="K256" s="53"/>
      <c r="L256" s="83"/>
    </row>
    <row r="257" spans="1:12" ht="14.25">
      <c r="A257" s="2" t="s">
        <v>159</v>
      </c>
      <c r="B257" s="4" t="s">
        <v>332</v>
      </c>
      <c r="C257" s="4" t="s">
        <v>267</v>
      </c>
      <c r="D257" s="4" t="s">
        <v>267</v>
      </c>
      <c r="E257" s="4"/>
      <c r="F257" s="4"/>
      <c r="G257" s="6"/>
      <c r="H257" s="53">
        <f>H258</f>
        <v>146</v>
      </c>
      <c r="I257" s="53">
        <f aca="true" t="shared" si="19" ref="I257:K259">I258</f>
        <v>0</v>
      </c>
      <c r="J257" s="53">
        <f t="shared" si="19"/>
        <v>146</v>
      </c>
      <c r="K257" s="53">
        <f t="shared" si="19"/>
        <v>0</v>
      </c>
      <c r="L257" s="83"/>
    </row>
    <row r="258" spans="1:12" ht="14.25">
      <c r="A258" s="2" t="s">
        <v>223</v>
      </c>
      <c r="B258" s="4" t="s">
        <v>332</v>
      </c>
      <c r="C258" s="4" t="s">
        <v>267</v>
      </c>
      <c r="D258" s="4" t="s">
        <v>267</v>
      </c>
      <c r="E258" s="4" t="s">
        <v>224</v>
      </c>
      <c r="F258" s="4"/>
      <c r="G258" s="6"/>
      <c r="H258" s="53">
        <f>H259</f>
        <v>146</v>
      </c>
      <c r="I258" s="53">
        <f t="shared" si="19"/>
        <v>0</v>
      </c>
      <c r="J258" s="53">
        <f t="shared" si="19"/>
        <v>146</v>
      </c>
      <c r="K258" s="53">
        <f t="shared" si="19"/>
        <v>0</v>
      </c>
      <c r="L258" s="83"/>
    </row>
    <row r="259" spans="1:12" ht="28.5">
      <c r="A259" s="57" t="s">
        <v>351</v>
      </c>
      <c r="B259" s="4" t="s">
        <v>332</v>
      </c>
      <c r="C259" s="4" t="s">
        <v>267</v>
      </c>
      <c r="D259" s="4" t="s">
        <v>267</v>
      </c>
      <c r="E259" s="4" t="s">
        <v>376</v>
      </c>
      <c r="F259" s="4"/>
      <c r="G259" s="6"/>
      <c r="H259" s="53">
        <f>H260</f>
        <v>146</v>
      </c>
      <c r="I259" s="53">
        <f t="shared" si="19"/>
        <v>0</v>
      </c>
      <c r="J259" s="53">
        <f t="shared" si="19"/>
        <v>146</v>
      </c>
      <c r="K259" s="53">
        <f t="shared" si="19"/>
        <v>0</v>
      </c>
      <c r="L259" s="83"/>
    </row>
    <row r="260" spans="1:12" ht="29.25" customHeight="1">
      <c r="A260" s="2" t="s">
        <v>431</v>
      </c>
      <c r="B260" s="4" t="s">
        <v>332</v>
      </c>
      <c r="C260" s="4" t="s">
        <v>267</v>
      </c>
      <c r="D260" s="4" t="s">
        <v>267</v>
      </c>
      <c r="E260" s="4" t="s">
        <v>376</v>
      </c>
      <c r="F260" s="4"/>
      <c r="G260" s="6" t="s">
        <v>421</v>
      </c>
      <c r="H260" s="53">
        <v>146</v>
      </c>
      <c r="I260" s="53"/>
      <c r="J260" s="53">
        <v>146</v>
      </c>
      <c r="K260" s="53"/>
      <c r="L260" s="83"/>
    </row>
    <row r="261" spans="1:12" ht="15">
      <c r="A261" s="47" t="s">
        <v>162</v>
      </c>
      <c r="B261" s="3" t="s">
        <v>332</v>
      </c>
      <c r="C261" s="3" t="s">
        <v>267</v>
      </c>
      <c r="D261" s="3" t="s">
        <v>265</v>
      </c>
      <c r="E261" s="4"/>
      <c r="F261" s="4"/>
      <c r="G261" s="6"/>
      <c r="H261" s="53">
        <f>H262</f>
        <v>1934.6999999999998</v>
      </c>
      <c r="I261" s="53">
        <f aca="true" t="shared" si="20" ref="I261:K262">I262</f>
        <v>0</v>
      </c>
      <c r="J261" s="53">
        <f t="shared" si="20"/>
        <v>1934.7</v>
      </c>
      <c r="K261" s="53">
        <f t="shared" si="20"/>
        <v>0</v>
      </c>
      <c r="L261" s="83"/>
    </row>
    <row r="262" spans="1:12" ht="14.25">
      <c r="A262" s="2" t="s">
        <v>223</v>
      </c>
      <c r="B262" s="4" t="s">
        <v>332</v>
      </c>
      <c r="C262" s="4" t="s">
        <v>267</v>
      </c>
      <c r="D262" s="4" t="s">
        <v>265</v>
      </c>
      <c r="E262" s="4" t="s">
        <v>224</v>
      </c>
      <c r="F262" s="4"/>
      <c r="G262" s="6"/>
      <c r="H262" s="53">
        <f>H263</f>
        <v>1934.6999999999998</v>
      </c>
      <c r="I262" s="53">
        <f t="shared" si="20"/>
        <v>0</v>
      </c>
      <c r="J262" s="53">
        <f t="shared" si="20"/>
        <v>1934.7</v>
      </c>
      <c r="K262" s="53">
        <f t="shared" si="20"/>
        <v>0</v>
      </c>
      <c r="L262" s="83"/>
    </row>
    <row r="263" spans="1:12" ht="28.5">
      <c r="A263" s="2" t="s">
        <v>478</v>
      </c>
      <c r="B263" s="4" t="s">
        <v>332</v>
      </c>
      <c r="C263" s="4" t="s">
        <v>267</v>
      </c>
      <c r="D263" s="4" t="s">
        <v>265</v>
      </c>
      <c r="E263" s="4" t="s">
        <v>377</v>
      </c>
      <c r="F263" s="4"/>
      <c r="G263" s="6"/>
      <c r="H263" s="53">
        <f>H264+H265</f>
        <v>1934.6999999999998</v>
      </c>
      <c r="I263" s="53">
        <f>I264+I265</f>
        <v>0</v>
      </c>
      <c r="J263" s="53">
        <f>J264+J265</f>
        <v>1934.7</v>
      </c>
      <c r="K263" s="53">
        <f>K264+K265</f>
        <v>0</v>
      </c>
      <c r="L263" s="83"/>
    </row>
    <row r="264" spans="1:12" ht="30" customHeight="1">
      <c r="A264" s="2" t="s">
        <v>431</v>
      </c>
      <c r="B264" s="4" t="s">
        <v>332</v>
      </c>
      <c r="C264" s="4" t="s">
        <v>267</v>
      </c>
      <c r="D264" s="4" t="s">
        <v>265</v>
      </c>
      <c r="E264" s="4" t="s">
        <v>377</v>
      </c>
      <c r="F264" s="4"/>
      <c r="G264" s="6" t="s">
        <v>421</v>
      </c>
      <c r="H264" s="53">
        <f>2276.2-1021.5</f>
        <v>1254.6999999999998</v>
      </c>
      <c r="I264" s="53"/>
      <c r="J264" s="53">
        <v>1254.7</v>
      </c>
      <c r="K264" s="53"/>
      <c r="L264" s="83"/>
    </row>
    <row r="265" spans="1:12" ht="19.5" customHeight="1">
      <c r="A265" s="7" t="s">
        <v>399</v>
      </c>
      <c r="B265" s="4" t="s">
        <v>332</v>
      </c>
      <c r="C265" s="4" t="s">
        <v>267</v>
      </c>
      <c r="D265" s="4" t="s">
        <v>265</v>
      </c>
      <c r="E265" s="4" t="s">
        <v>377</v>
      </c>
      <c r="F265" s="4"/>
      <c r="G265" s="6" t="s">
        <v>398</v>
      </c>
      <c r="H265" s="53">
        <v>680</v>
      </c>
      <c r="I265" s="53"/>
      <c r="J265" s="53">
        <v>680</v>
      </c>
      <c r="K265" s="53"/>
      <c r="L265" s="83"/>
    </row>
    <row r="266" spans="1:12" ht="15">
      <c r="A266" s="47" t="s">
        <v>355</v>
      </c>
      <c r="B266" s="3" t="s">
        <v>332</v>
      </c>
      <c r="C266" s="3" t="s">
        <v>268</v>
      </c>
      <c r="D266" s="3"/>
      <c r="E266" s="3"/>
      <c r="F266" s="3"/>
      <c r="G266" s="6"/>
      <c r="H266" s="48">
        <f>H267</f>
        <v>1083.8</v>
      </c>
      <c r="I266" s="48">
        <f aca="true" t="shared" si="21" ref="I266:K268">I267</f>
        <v>0</v>
      </c>
      <c r="J266" s="48">
        <f t="shared" si="21"/>
        <v>1080.2</v>
      </c>
      <c r="K266" s="48">
        <f t="shared" si="21"/>
        <v>0</v>
      </c>
      <c r="L266" s="63">
        <f>J266/H266*100</f>
        <v>99.66783539398413</v>
      </c>
    </row>
    <row r="267" spans="1:12" ht="14.25">
      <c r="A267" s="2" t="s">
        <v>357</v>
      </c>
      <c r="B267" s="4" t="s">
        <v>332</v>
      </c>
      <c r="C267" s="4" t="s">
        <v>268</v>
      </c>
      <c r="D267" s="4" t="s">
        <v>261</v>
      </c>
      <c r="E267" s="4"/>
      <c r="F267" s="4"/>
      <c r="G267" s="6"/>
      <c r="H267" s="53">
        <f>H268</f>
        <v>1083.8</v>
      </c>
      <c r="I267" s="53">
        <f t="shared" si="21"/>
        <v>0</v>
      </c>
      <c r="J267" s="53">
        <f t="shared" si="21"/>
        <v>1080.2</v>
      </c>
      <c r="K267" s="53">
        <f t="shared" si="21"/>
        <v>0</v>
      </c>
      <c r="L267" s="83"/>
    </row>
    <row r="268" spans="1:12" ht="28.5">
      <c r="A268" s="2" t="s">
        <v>349</v>
      </c>
      <c r="B268" s="4" t="s">
        <v>332</v>
      </c>
      <c r="C268" s="4" t="s">
        <v>268</v>
      </c>
      <c r="D268" s="4" t="s">
        <v>261</v>
      </c>
      <c r="E268" s="4" t="s">
        <v>378</v>
      </c>
      <c r="F268" s="4"/>
      <c r="G268" s="6"/>
      <c r="H268" s="53">
        <f>H269</f>
        <v>1083.8</v>
      </c>
      <c r="I268" s="53">
        <f t="shared" si="21"/>
        <v>0</v>
      </c>
      <c r="J268" s="53">
        <f t="shared" si="21"/>
        <v>1080.2</v>
      </c>
      <c r="K268" s="53">
        <f t="shared" si="21"/>
        <v>0</v>
      </c>
      <c r="L268" s="83"/>
    </row>
    <row r="269" spans="1:12" ht="36.75" customHeight="1">
      <c r="A269" s="2" t="s">
        <v>431</v>
      </c>
      <c r="B269" s="4" t="s">
        <v>332</v>
      </c>
      <c r="C269" s="4" t="s">
        <v>268</v>
      </c>
      <c r="D269" s="4" t="s">
        <v>261</v>
      </c>
      <c r="E269" s="4" t="s">
        <v>378</v>
      </c>
      <c r="F269" s="4"/>
      <c r="G269" s="6" t="s">
        <v>421</v>
      </c>
      <c r="H269" s="53">
        <f>484.3+533+1021.5-955</f>
        <v>1083.8</v>
      </c>
      <c r="I269" s="53"/>
      <c r="J269" s="53">
        <v>1080.2</v>
      </c>
      <c r="K269" s="53"/>
      <c r="L269" s="83"/>
    </row>
    <row r="270" spans="1:12" ht="15">
      <c r="A270" s="47" t="s">
        <v>329</v>
      </c>
      <c r="B270" s="3" t="s">
        <v>332</v>
      </c>
      <c r="C270" s="3" t="s">
        <v>265</v>
      </c>
      <c r="D270" s="3"/>
      <c r="E270" s="3"/>
      <c r="F270" s="3"/>
      <c r="G270" s="5"/>
      <c r="H270" s="48">
        <f>H271+H289+H302+H306+H313</f>
        <v>297003.6</v>
      </c>
      <c r="I270" s="48">
        <f>I271+I289+I302+I306+I313</f>
        <v>288195.1</v>
      </c>
      <c r="J270" s="48">
        <f>J271+J289+J302+J306+J313</f>
        <v>292681.39999999997</v>
      </c>
      <c r="K270" s="48">
        <f>K271+K289+K302+K306+K313</f>
        <v>284193.8</v>
      </c>
      <c r="L270" s="63">
        <f>J270/H270*100</f>
        <v>98.54473144433265</v>
      </c>
    </row>
    <row r="271" spans="1:12" ht="15">
      <c r="A271" s="47" t="s">
        <v>282</v>
      </c>
      <c r="B271" s="3" t="s">
        <v>332</v>
      </c>
      <c r="C271" s="3" t="s">
        <v>265</v>
      </c>
      <c r="D271" s="3" t="s">
        <v>259</v>
      </c>
      <c r="E271" s="3"/>
      <c r="F271" s="3"/>
      <c r="G271" s="6"/>
      <c r="H271" s="48">
        <f>H272+H279+H284</f>
        <v>66505.5</v>
      </c>
      <c r="I271" s="48">
        <f>I272+I279+I284</f>
        <v>61317</v>
      </c>
      <c r="J271" s="48">
        <f>J272+J279+J284</f>
        <v>66397.6</v>
      </c>
      <c r="K271" s="48">
        <f>K272+K279+K284</f>
        <v>61210</v>
      </c>
      <c r="L271" s="63">
        <f>J271/H271*100</f>
        <v>99.8377577794318</v>
      </c>
    </row>
    <row r="272" spans="1:12" ht="14.25">
      <c r="A272" s="2" t="s">
        <v>322</v>
      </c>
      <c r="B272" s="4" t="s">
        <v>332</v>
      </c>
      <c r="C272" s="4" t="s">
        <v>265</v>
      </c>
      <c r="D272" s="4" t="s">
        <v>259</v>
      </c>
      <c r="E272" s="4" t="s">
        <v>169</v>
      </c>
      <c r="F272" s="4"/>
      <c r="G272" s="6"/>
      <c r="H272" s="53">
        <f>H273+H275+H277</f>
        <v>64407</v>
      </c>
      <c r="I272" s="53">
        <f>I273+I275+I277</f>
        <v>59218.5</v>
      </c>
      <c r="J272" s="53">
        <f>J273+J275+J277</f>
        <v>64406.1</v>
      </c>
      <c r="K272" s="53">
        <f>K273+K275+K277</f>
        <v>59218.5</v>
      </c>
      <c r="L272" s="83"/>
    </row>
    <row r="273" spans="1:12" ht="49.5" customHeight="1">
      <c r="A273" s="2" t="s">
        <v>618</v>
      </c>
      <c r="B273" s="4" t="s">
        <v>332</v>
      </c>
      <c r="C273" s="4" t="s">
        <v>265</v>
      </c>
      <c r="D273" s="4" t="s">
        <v>259</v>
      </c>
      <c r="E273" s="4" t="s">
        <v>538</v>
      </c>
      <c r="F273" s="4"/>
      <c r="G273" s="6"/>
      <c r="H273" s="53">
        <f>H274</f>
        <v>57843.5</v>
      </c>
      <c r="I273" s="53">
        <f>I274</f>
        <v>57843.5</v>
      </c>
      <c r="J273" s="53">
        <f>J274</f>
        <v>57843.5</v>
      </c>
      <c r="K273" s="53">
        <f>K274</f>
        <v>57843.5</v>
      </c>
      <c r="L273" s="83"/>
    </row>
    <row r="274" spans="1:12" ht="42.75">
      <c r="A274" s="2" t="s">
        <v>429</v>
      </c>
      <c r="B274" s="4" t="s">
        <v>332</v>
      </c>
      <c r="C274" s="4" t="s">
        <v>265</v>
      </c>
      <c r="D274" s="4" t="s">
        <v>259</v>
      </c>
      <c r="E274" s="4" t="s">
        <v>538</v>
      </c>
      <c r="F274" s="4"/>
      <c r="G274" s="6" t="s">
        <v>402</v>
      </c>
      <c r="H274" s="53">
        <f>47435.5-1375+4400-4400+1700+450+1000+3000+6839-1406+200</f>
        <v>57843.5</v>
      </c>
      <c r="I274" s="53">
        <f>47435.5-1375+4400-4400+1700+450+1000+3000+6839-1406+200</f>
        <v>57843.5</v>
      </c>
      <c r="J274" s="53">
        <v>57843.5</v>
      </c>
      <c r="K274" s="53">
        <v>57843.5</v>
      </c>
      <c r="L274" s="83"/>
    </row>
    <row r="275" spans="1:12" ht="58.5" customHeight="1">
      <c r="A275" s="2" t="s">
        <v>633</v>
      </c>
      <c r="B275" s="4" t="s">
        <v>332</v>
      </c>
      <c r="C275" s="4" t="s">
        <v>265</v>
      </c>
      <c r="D275" s="4" t="s">
        <v>259</v>
      </c>
      <c r="E275" s="4" t="s">
        <v>539</v>
      </c>
      <c r="F275" s="4"/>
      <c r="G275" s="6"/>
      <c r="H275" s="53">
        <f>H276</f>
        <v>1375</v>
      </c>
      <c r="I275" s="53">
        <f>I276</f>
        <v>1375</v>
      </c>
      <c r="J275" s="53">
        <f>J276</f>
        <v>1375</v>
      </c>
      <c r="K275" s="53">
        <f>K276</f>
        <v>1375</v>
      </c>
      <c r="L275" s="83"/>
    </row>
    <row r="276" spans="1:12" ht="42.75">
      <c r="A276" s="2" t="s">
        <v>429</v>
      </c>
      <c r="B276" s="4" t="s">
        <v>332</v>
      </c>
      <c r="C276" s="4" t="s">
        <v>265</v>
      </c>
      <c r="D276" s="4" t="s">
        <v>259</v>
      </c>
      <c r="E276" s="4" t="s">
        <v>539</v>
      </c>
      <c r="F276" s="4"/>
      <c r="G276" s="6" t="s">
        <v>402</v>
      </c>
      <c r="H276" s="53">
        <v>1375</v>
      </c>
      <c r="I276" s="53">
        <v>1375</v>
      </c>
      <c r="J276" s="53">
        <v>1375</v>
      </c>
      <c r="K276" s="53">
        <v>1375</v>
      </c>
      <c r="L276" s="83"/>
    </row>
    <row r="277" spans="1:12" ht="14.25">
      <c r="A277" s="2" t="s">
        <v>157</v>
      </c>
      <c r="B277" s="4" t="s">
        <v>332</v>
      </c>
      <c r="C277" s="4" t="s">
        <v>265</v>
      </c>
      <c r="D277" s="4" t="s">
        <v>259</v>
      </c>
      <c r="E277" s="4" t="s">
        <v>19</v>
      </c>
      <c r="F277" s="4"/>
      <c r="G277" s="6"/>
      <c r="H277" s="53">
        <f>H278</f>
        <v>5188.5</v>
      </c>
      <c r="I277" s="53">
        <f>I278</f>
        <v>0</v>
      </c>
      <c r="J277" s="53">
        <f>J278</f>
        <v>5187.6</v>
      </c>
      <c r="K277" s="53">
        <f>K278</f>
        <v>0</v>
      </c>
      <c r="L277" s="83"/>
    </row>
    <row r="278" spans="1:12" ht="14.25">
      <c r="A278" s="7" t="s">
        <v>399</v>
      </c>
      <c r="B278" s="4" t="s">
        <v>332</v>
      </c>
      <c r="C278" s="4" t="s">
        <v>265</v>
      </c>
      <c r="D278" s="4" t="s">
        <v>259</v>
      </c>
      <c r="E278" s="4" t="s">
        <v>19</v>
      </c>
      <c r="F278" s="4"/>
      <c r="G278" s="6" t="s">
        <v>398</v>
      </c>
      <c r="H278" s="53">
        <f>300+4800+88.5</f>
        <v>5188.5</v>
      </c>
      <c r="I278" s="53"/>
      <c r="J278" s="53">
        <v>5187.6</v>
      </c>
      <c r="K278" s="53"/>
      <c r="L278" s="83"/>
    </row>
    <row r="279" spans="1:12" ht="15">
      <c r="A279" s="47" t="s">
        <v>303</v>
      </c>
      <c r="B279" s="3" t="s">
        <v>332</v>
      </c>
      <c r="C279" s="3" t="s">
        <v>265</v>
      </c>
      <c r="D279" s="3" t="s">
        <v>259</v>
      </c>
      <c r="E279" s="3" t="s">
        <v>304</v>
      </c>
      <c r="F279" s="3"/>
      <c r="G279" s="6"/>
      <c r="H279" s="48">
        <f>H280+H282</f>
        <v>1515.5</v>
      </c>
      <c r="I279" s="48">
        <f>I280+I282</f>
        <v>1515.5</v>
      </c>
      <c r="J279" s="48">
        <f>J280+J282</f>
        <v>1515.5</v>
      </c>
      <c r="K279" s="48">
        <f>K280+K282</f>
        <v>1515.5</v>
      </c>
      <c r="L279" s="63">
        <f>J279/H279*100</f>
        <v>100</v>
      </c>
    </row>
    <row r="280" spans="1:12" ht="28.5">
      <c r="A280" s="2" t="s">
        <v>623</v>
      </c>
      <c r="B280" s="4" t="s">
        <v>332</v>
      </c>
      <c r="C280" s="4" t="s">
        <v>265</v>
      </c>
      <c r="D280" s="4" t="s">
        <v>259</v>
      </c>
      <c r="E280" s="4" t="s">
        <v>540</v>
      </c>
      <c r="F280" s="4"/>
      <c r="G280" s="6"/>
      <c r="H280" s="53">
        <f>H281</f>
        <v>1433.5</v>
      </c>
      <c r="I280" s="53">
        <f>I281</f>
        <v>1433.5</v>
      </c>
      <c r="J280" s="53">
        <f>J281</f>
        <v>1433.5</v>
      </c>
      <c r="K280" s="53">
        <f>K281</f>
        <v>1433.5</v>
      </c>
      <c r="L280" s="83"/>
    </row>
    <row r="281" spans="1:12" ht="42.75">
      <c r="A281" s="2" t="s">
        <v>429</v>
      </c>
      <c r="B281" s="4" t="s">
        <v>332</v>
      </c>
      <c r="C281" s="4" t="s">
        <v>265</v>
      </c>
      <c r="D281" s="4" t="s">
        <v>259</v>
      </c>
      <c r="E281" s="4" t="s">
        <v>540</v>
      </c>
      <c r="F281" s="4"/>
      <c r="G281" s="6" t="s">
        <v>402</v>
      </c>
      <c r="H281" s="53">
        <v>1433.5</v>
      </c>
      <c r="I281" s="53">
        <v>1433.5</v>
      </c>
      <c r="J281" s="53">
        <v>1433.5</v>
      </c>
      <c r="K281" s="53">
        <v>1433.5</v>
      </c>
      <c r="L281" s="83"/>
    </row>
    <row r="282" spans="1:12" ht="42.75">
      <c r="A282" s="2" t="s">
        <v>635</v>
      </c>
      <c r="B282" s="4" t="s">
        <v>332</v>
      </c>
      <c r="C282" s="4" t="s">
        <v>265</v>
      </c>
      <c r="D282" s="4" t="s">
        <v>259</v>
      </c>
      <c r="E282" s="4" t="s">
        <v>541</v>
      </c>
      <c r="F282" s="4"/>
      <c r="G282" s="6"/>
      <c r="H282" s="53">
        <f>H283</f>
        <v>82</v>
      </c>
      <c r="I282" s="53">
        <f>I283</f>
        <v>82</v>
      </c>
      <c r="J282" s="53">
        <f>J283</f>
        <v>82</v>
      </c>
      <c r="K282" s="53">
        <f>K283</f>
        <v>82</v>
      </c>
      <c r="L282" s="83"/>
    </row>
    <row r="283" spans="1:12" ht="42.75">
      <c r="A283" s="2" t="s">
        <v>429</v>
      </c>
      <c r="B283" s="4" t="s">
        <v>332</v>
      </c>
      <c r="C283" s="4" t="s">
        <v>265</v>
      </c>
      <c r="D283" s="4" t="s">
        <v>259</v>
      </c>
      <c r="E283" s="4" t="s">
        <v>541</v>
      </c>
      <c r="F283" s="4"/>
      <c r="G283" s="6" t="s">
        <v>402</v>
      </c>
      <c r="H283" s="53">
        <v>82</v>
      </c>
      <c r="I283" s="53">
        <v>82</v>
      </c>
      <c r="J283" s="53">
        <v>82</v>
      </c>
      <c r="K283" s="53">
        <v>82</v>
      </c>
      <c r="L283" s="83"/>
    </row>
    <row r="284" spans="1:12" ht="14.25">
      <c r="A284" s="2" t="s">
        <v>530</v>
      </c>
      <c r="B284" s="4" t="s">
        <v>332</v>
      </c>
      <c r="C284" s="4" t="s">
        <v>265</v>
      </c>
      <c r="D284" s="4" t="s">
        <v>259</v>
      </c>
      <c r="E284" s="4" t="s">
        <v>528</v>
      </c>
      <c r="F284" s="4"/>
      <c r="G284" s="6"/>
      <c r="H284" s="53">
        <f aca="true" t="shared" si="22" ref="H284:K287">H285</f>
        <v>583</v>
      </c>
      <c r="I284" s="53">
        <f t="shared" si="22"/>
        <v>583</v>
      </c>
      <c r="J284" s="53">
        <f t="shared" si="22"/>
        <v>476</v>
      </c>
      <c r="K284" s="53">
        <f t="shared" si="22"/>
        <v>476</v>
      </c>
      <c r="L284" s="83"/>
    </row>
    <row r="285" spans="1:12" ht="57">
      <c r="A285" s="2" t="s">
        <v>637</v>
      </c>
      <c r="B285" s="4" t="s">
        <v>332</v>
      </c>
      <c r="C285" s="4" t="s">
        <v>265</v>
      </c>
      <c r="D285" s="4" t="s">
        <v>259</v>
      </c>
      <c r="E285" s="4" t="s">
        <v>636</v>
      </c>
      <c r="F285" s="4"/>
      <c r="G285" s="6"/>
      <c r="H285" s="53">
        <f t="shared" si="22"/>
        <v>583</v>
      </c>
      <c r="I285" s="53">
        <f t="shared" si="22"/>
        <v>583</v>
      </c>
      <c r="J285" s="53">
        <f t="shared" si="22"/>
        <v>476</v>
      </c>
      <c r="K285" s="53">
        <f t="shared" si="22"/>
        <v>476</v>
      </c>
      <c r="L285" s="83"/>
    </row>
    <row r="286" spans="1:12" ht="57">
      <c r="A286" s="2" t="s">
        <v>542</v>
      </c>
      <c r="B286" s="4" t="s">
        <v>332</v>
      </c>
      <c r="C286" s="4" t="s">
        <v>265</v>
      </c>
      <c r="D286" s="4" t="s">
        <v>259</v>
      </c>
      <c r="E286" s="4" t="s">
        <v>68</v>
      </c>
      <c r="F286" s="4"/>
      <c r="G286" s="6"/>
      <c r="H286" s="53">
        <f t="shared" si="22"/>
        <v>583</v>
      </c>
      <c r="I286" s="53">
        <f t="shared" si="22"/>
        <v>583</v>
      </c>
      <c r="J286" s="53">
        <f t="shared" si="22"/>
        <v>476</v>
      </c>
      <c r="K286" s="53">
        <f t="shared" si="22"/>
        <v>476</v>
      </c>
      <c r="L286" s="83"/>
    </row>
    <row r="287" spans="1:12" ht="57">
      <c r="A287" s="2" t="s">
        <v>70</v>
      </c>
      <c r="B287" s="4" t="s">
        <v>332</v>
      </c>
      <c r="C287" s="4" t="s">
        <v>265</v>
      </c>
      <c r="D287" s="4" t="s">
        <v>259</v>
      </c>
      <c r="E287" s="4" t="s">
        <v>69</v>
      </c>
      <c r="F287" s="4"/>
      <c r="G287" s="6"/>
      <c r="H287" s="53">
        <f>H288</f>
        <v>583</v>
      </c>
      <c r="I287" s="53">
        <f t="shared" si="22"/>
        <v>583</v>
      </c>
      <c r="J287" s="53">
        <f t="shared" si="22"/>
        <v>476</v>
      </c>
      <c r="K287" s="53">
        <f t="shared" si="22"/>
        <v>476</v>
      </c>
      <c r="L287" s="83"/>
    </row>
    <row r="288" spans="1:12" ht="15" customHeight="1">
      <c r="A288" s="7" t="s">
        <v>399</v>
      </c>
      <c r="B288" s="4" t="s">
        <v>332</v>
      </c>
      <c r="C288" s="4" t="s">
        <v>265</v>
      </c>
      <c r="D288" s="4" t="s">
        <v>259</v>
      </c>
      <c r="E288" s="4" t="s">
        <v>69</v>
      </c>
      <c r="F288" s="4"/>
      <c r="G288" s="6" t="s">
        <v>398</v>
      </c>
      <c r="H288" s="53">
        <f>873-290</f>
        <v>583</v>
      </c>
      <c r="I288" s="53">
        <f>873-290</f>
        <v>583</v>
      </c>
      <c r="J288" s="53">
        <v>476</v>
      </c>
      <c r="K288" s="53">
        <v>476</v>
      </c>
      <c r="L288" s="83"/>
    </row>
    <row r="289" spans="1:12" ht="19.5" customHeight="1">
      <c r="A289" s="47" t="s">
        <v>305</v>
      </c>
      <c r="B289" s="3" t="s">
        <v>332</v>
      </c>
      <c r="C289" s="3" t="s">
        <v>265</v>
      </c>
      <c r="D289" s="3" t="s">
        <v>260</v>
      </c>
      <c r="E289" s="3"/>
      <c r="F289" s="3"/>
      <c r="G289" s="6"/>
      <c r="H289" s="48">
        <f>H290+H297</f>
        <v>97465.9</v>
      </c>
      <c r="I289" s="48">
        <f>I290+I297</f>
        <v>95845.9</v>
      </c>
      <c r="J289" s="48">
        <f>J290+J297</f>
        <v>95219.9</v>
      </c>
      <c r="K289" s="48">
        <f>K290+K297</f>
        <v>93919.9</v>
      </c>
      <c r="L289" s="63">
        <f>J289/H289*100</f>
        <v>97.69560430878902</v>
      </c>
    </row>
    <row r="290" spans="1:12" ht="18" customHeight="1">
      <c r="A290" s="2" t="s">
        <v>306</v>
      </c>
      <c r="B290" s="4" t="s">
        <v>332</v>
      </c>
      <c r="C290" s="4" t="s">
        <v>265</v>
      </c>
      <c r="D290" s="4" t="s">
        <v>260</v>
      </c>
      <c r="E290" s="4" t="s">
        <v>307</v>
      </c>
      <c r="F290" s="4"/>
      <c r="G290" s="6"/>
      <c r="H290" s="53">
        <f>H291+H293+H295</f>
        <v>86442.9</v>
      </c>
      <c r="I290" s="53">
        <f>I291+I293+I295</f>
        <v>84822.9</v>
      </c>
      <c r="J290" s="53">
        <f>J291+J293+J295</f>
        <v>86122.9</v>
      </c>
      <c r="K290" s="53">
        <f>K291+K293+K295</f>
        <v>84822.9</v>
      </c>
      <c r="L290" s="83"/>
    </row>
    <row r="291" spans="1:12" ht="42.75">
      <c r="A291" s="2" t="s">
        <v>631</v>
      </c>
      <c r="B291" s="4" t="s">
        <v>332</v>
      </c>
      <c r="C291" s="4" t="s">
        <v>265</v>
      </c>
      <c r="D291" s="4" t="s">
        <v>260</v>
      </c>
      <c r="E291" s="4" t="s">
        <v>543</v>
      </c>
      <c r="F291" s="4"/>
      <c r="G291" s="6"/>
      <c r="H291" s="53">
        <f>H292</f>
        <v>82522.9</v>
      </c>
      <c r="I291" s="53">
        <f>I292</f>
        <v>82522.9</v>
      </c>
      <c r="J291" s="53">
        <f>J292</f>
        <v>82522.9</v>
      </c>
      <c r="K291" s="53">
        <f>K292</f>
        <v>82522.9</v>
      </c>
      <c r="L291" s="83"/>
    </row>
    <row r="292" spans="1:12" ht="42.75">
      <c r="A292" s="2" t="s">
        <v>429</v>
      </c>
      <c r="B292" s="4" t="s">
        <v>332</v>
      </c>
      <c r="C292" s="4" t="s">
        <v>265</v>
      </c>
      <c r="D292" s="4" t="s">
        <v>260</v>
      </c>
      <c r="E292" s="4" t="s">
        <v>543</v>
      </c>
      <c r="F292" s="4"/>
      <c r="G292" s="6" t="s">
        <v>402</v>
      </c>
      <c r="H292" s="53">
        <f>82374.5-2300+8003-8003+3052+340-368+1150+3850-7081.6+1506</f>
        <v>82522.9</v>
      </c>
      <c r="I292" s="53">
        <f>82374.5-2300+8003-8003+3052+340-368+1150+3850-7081.6+1506</f>
        <v>82522.9</v>
      </c>
      <c r="J292" s="53">
        <v>82522.9</v>
      </c>
      <c r="K292" s="53">
        <v>82522.9</v>
      </c>
      <c r="L292" s="83"/>
    </row>
    <row r="293" spans="1:12" ht="57">
      <c r="A293" s="2" t="s">
        <v>0</v>
      </c>
      <c r="B293" s="4" t="s">
        <v>332</v>
      </c>
      <c r="C293" s="4" t="s">
        <v>265</v>
      </c>
      <c r="D293" s="4" t="s">
        <v>260</v>
      </c>
      <c r="E293" s="4" t="s">
        <v>544</v>
      </c>
      <c r="F293" s="4"/>
      <c r="G293" s="6"/>
      <c r="H293" s="53">
        <f>H294</f>
        <v>2300</v>
      </c>
      <c r="I293" s="53">
        <f>I294</f>
        <v>2300</v>
      </c>
      <c r="J293" s="53">
        <f>J294</f>
        <v>2300</v>
      </c>
      <c r="K293" s="53">
        <f>K294</f>
        <v>2300</v>
      </c>
      <c r="L293" s="83"/>
    </row>
    <row r="294" spans="1:12" ht="42.75">
      <c r="A294" s="2" t="s">
        <v>429</v>
      </c>
      <c r="B294" s="4" t="s">
        <v>332</v>
      </c>
      <c r="C294" s="4" t="s">
        <v>265</v>
      </c>
      <c r="D294" s="4" t="s">
        <v>260</v>
      </c>
      <c r="E294" s="4" t="s">
        <v>544</v>
      </c>
      <c r="F294" s="4"/>
      <c r="G294" s="6" t="s">
        <v>402</v>
      </c>
      <c r="H294" s="53">
        <v>2300</v>
      </c>
      <c r="I294" s="53">
        <v>2300</v>
      </c>
      <c r="J294" s="53">
        <v>2300</v>
      </c>
      <c r="K294" s="53">
        <v>2300</v>
      </c>
      <c r="L294" s="83"/>
    </row>
    <row r="295" spans="1:12" ht="14.25">
      <c r="A295" s="2" t="s">
        <v>157</v>
      </c>
      <c r="B295" s="4" t="s">
        <v>332</v>
      </c>
      <c r="C295" s="4" t="s">
        <v>265</v>
      </c>
      <c r="D295" s="4" t="s">
        <v>260</v>
      </c>
      <c r="E295" s="4" t="s">
        <v>447</v>
      </c>
      <c r="F295" s="4"/>
      <c r="G295" s="6"/>
      <c r="H295" s="53">
        <f>H296</f>
        <v>1620</v>
      </c>
      <c r="I295" s="53">
        <f>I296</f>
        <v>0</v>
      </c>
      <c r="J295" s="53">
        <f>J296</f>
        <v>1300</v>
      </c>
      <c r="K295" s="53">
        <f>K296</f>
        <v>0</v>
      </c>
      <c r="L295" s="83"/>
    </row>
    <row r="296" spans="1:12" ht="14.25">
      <c r="A296" s="7" t="s">
        <v>399</v>
      </c>
      <c r="B296" s="4" t="s">
        <v>332</v>
      </c>
      <c r="C296" s="4" t="s">
        <v>265</v>
      </c>
      <c r="D296" s="4" t="s">
        <v>260</v>
      </c>
      <c r="E296" s="4" t="s">
        <v>447</v>
      </c>
      <c r="F296" s="4"/>
      <c r="G296" s="6" t="s">
        <v>398</v>
      </c>
      <c r="H296" s="53">
        <f>310+100+670+540</f>
        <v>1620</v>
      </c>
      <c r="I296" s="53"/>
      <c r="J296" s="53">
        <v>1300</v>
      </c>
      <c r="K296" s="53"/>
      <c r="L296" s="83"/>
    </row>
    <row r="297" spans="1:12" ht="14.25">
      <c r="A297" s="2" t="s">
        <v>530</v>
      </c>
      <c r="B297" s="4" t="s">
        <v>332</v>
      </c>
      <c r="C297" s="4" t="s">
        <v>265</v>
      </c>
      <c r="D297" s="4" t="s">
        <v>260</v>
      </c>
      <c r="E297" s="4" t="s">
        <v>528</v>
      </c>
      <c r="F297" s="4"/>
      <c r="G297" s="6"/>
      <c r="H297" s="53">
        <f aca="true" t="shared" si="23" ref="H297:K300">H298</f>
        <v>11023</v>
      </c>
      <c r="I297" s="53">
        <f t="shared" si="23"/>
        <v>11023</v>
      </c>
      <c r="J297" s="53">
        <f t="shared" si="23"/>
        <v>9097</v>
      </c>
      <c r="K297" s="53">
        <f t="shared" si="23"/>
        <v>9097</v>
      </c>
      <c r="L297" s="83"/>
    </row>
    <row r="298" spans="1:12" ht="57">
      <c r="A298" s="2" t="s">
        <v>637</v>
      </c>
      <c r="B298" s="4" t="s">
        <v>332</v>
      </c>
      <c r="C298" s="4" t="s">
        <v>265</v>
      </c>
      <c r="D298" s="4" t="s">
        <v>260</v>
      </c>
      <c r="E298" s="4" t="s">
        <v>636</v>
      </c>
      <c r="F298" s="4"/>
      <c r="G298" s="6"/>
      <c r="H298" s="53">
        <f t="shared" si="23"/>
        <v>11023</v>
      </c>
      <c r="I298" s="53">
        <f t="shared" si="23"/>
        <v>11023</v>
      </c>
      <c r="J298" s="53">
        <f t="shared" si="23"/>
        <v>9097</v>
      </c>
      <c r="K298" s="53">
        <f t="shared" si="23"/>
        <v>9097</v>
      </c>
      <c r="L298" s="83"/>
    </row>
    <row r="299" spans="1:12" ht="57">
      <c r="A299" s="2" t="s">
        <v>542</v>
      </c>
      <c r="B299" s="4" t="s">
        <v>332</v>
      </c>
      <c r="C299" s="4" t="s">
        <v>265</v>
      </c>
      <c r="D299" s="4" t="s">
        <v>260</v>
      </c>
      <c r="E299" s="4" t="s">
        <v>68</v>
      </c>
      <c r="F299" s="4"/>
      <c r="G299" s="6"/>
      <c r="H299" s="53">
        <f t="shared" si="23"/>
        <v>11023</v>
      </c>
      <c r="I299" s="53">
        <f t="shared" si="23"/>
        <v>11023</v>
      </c>
      <c r="J299" s="53">
        <f t="shared" si="23"/>
        <v>9097</v>
      </c>
      <c r="K299" s="53">
        <f t="shared" si="23"/>
        <v>9097</v>
      </c>
      <c r="L299" s="83"/>
    </row>
    <row r="300" spans="1:12" ht="28.5">
      <c r="A300" s="2" t="s">
        <v>67</v>
      </c>
      <c r="B300" s="4" t="s">
        <v>332</v>
      </c>
      <c r="C300" s="4" t="s">
        <v>265</v>
      </c>
      <c r="D300" s="4" t="s">
        <v>260</v>
      </c>
      <c r="E300" s="4" t="s">
        <v>66</v>
      </c>
      <c r="F300" s="4"/>
      <c r="G300" s="6"/>
      <c r="H300" s="53">
        <f>H301</f>
        <v>11023</v>
      </c>
      <c r="I300" s="53">
        <f t="shared" si="23"/>
        <v>11023</v>
      </c>
      <c r="J300" s="53">
        <f t="shared" si="23"/>
        <v>9097</v>
      </c>
      <c r="K300" s="53">
        <f t="shared" si="23"/>
        <v>9097</v>
      </c>
      <c r="L300" s="83"/>
    </row>
    <row r="301" spans="1:12" ht="14.25">
      <c r="A301" s="7" t="s">
        <v>399</v>
      </c>
      <c r="B301" s="4" t="s">
        <v>332</v>
      </c>
      <c r="C301" s="4" t="s">
        <v>265</v>
      </c>
      <c r="D301" s="4" t="s">
        <v>260</v>
      </c>
      <c r="E301" s="4" t="s">
        <v>66</v>
      </c>
      <c r="F301" s="4"/>
      <c r="G301" s="6" t="s">
        <v>398</v>
      </c>
      <c r="H301" s="53">
        <v>11023</v>
      </c>
      <c r="I301" s="53">
        <v>11023</v>
      </c>
      <c r="J301" s="53">
        <v>9097</v>
      </c>
      <c r="K301" s="53">
        <v>9097</v>
      </c>
      <c r="L301" s="83"/>
    </row>
    <row r="302" spans="1:12" ht="30">
      <c r="A302" s="47" t="s">
        <v>308</v>
      </c>
      <c r="B302" s="3" t="s">
        <v>332</v>
      </c>
      <c r="C302" s="3" t="s">
        <v>265</v>
      </c>
      <c r="D302" s="3" t="s">
        <v>264</v>
      </c>
      <c r="E302" s="3"/>
      <c r="F302" s="3"/>
      <c r="G302" s="6"/>
      <c r="H302" s="48">
        <f aca="true" t="shared" si="24" ref="H302:K304">H303</f>
        <v>127.80000000000001</v>
      </c>
      <c r="I302" s="48">
        <f t="shared" si="24"/>
        <v>127.80000000000001</v>
      </c>
      <c r="J302" s="48">
        <f t="shared" si="24"/>
        <v>127.8</v>
      </c>
      <c r="K302" s="48">
        <f t="shared" si="24"/>
        <v>127.8</v>
      </c>
      <c r="L302" s="63">
        <f>J302/H302*100</f>
        <v>99.99999999999999</v>
      </c>
    </row>
    <row r="303" spans="1:12" ht="14.25">
      <c r="A303" s="2" t="s">
        <v>322</v>
      </c>
      <c r="B303" s="4" t="s">
        <v>332</v>
      </c>
      <c r="C303" s="4" t="s">
        <v>265</v>
      </c>
      <c r="D303" s="4" t="s">
        <v>264</v>
      </c>
      <c r="E303" s="4" t="s">
        <v>169</v>
      </c>
      <c r="F303" s="4"/>
      <c r="G303" s="6"/>
      <c r="H303" s="53">
        <f t="shared" si="24"/>
        <v>127.80000000000001</v>
      </c>
      <c r="I303" s="53">
        <f t="shared" si="24"/>
        <v>127.80000000000001</v>
      </c>
      <c r="J303" s="53">
        <f t="shared" si="24"/>
        <v>127.8</v>
      </c>
      <c r="K303" s="53">
        <f t="shared" si="24"/>
        <v>127.8</v>
      </c>
      <c r="L303" s="83"/>
    </row>
    <row r="304" spans="1:12" ht="42.75">
      <c r="A304" s="2" t="s">
        <v>621</v>
      </c>
      <c r="B304" s="4" t="s">
        <v>332</v>
      </c>
      <c r="C304" s="4" t="s">
        <v>265</v>
      </c>
      <c r="D304" s="4" t="s">
        <v>264</v>
      </c>
      <c r="E304" s="4" t="s">
        <v>538</v>
      </c>
      <c r="F304" s="4"/>
      <c r="G304" s="6"/>
      <c r="H304" s="53">
        <f t="shared" si="24"/>
        <v>127.80000000000001</v>
      </c>
      <c r="I304" s="53">
        <f t="shared" si="24"/>
        <v>127.80000000000001</v>
      </c>
      <c r="J304" s="53">
        <f t="shared" si="24"/>
        <v>127.8</v>
      </c>
      <c r="K304" s="53">
        <f t="shared" si="24"/>
        <v>127.8</v>
      </c>
      <c r="L304" s="83"/>
    </row>
    <row r="305" spans="1:12" ht="42.75">
      <c r="A305" s="2" t="s">
        <v>429</v>
      </c>
      <c r="B305" s="4" t="s">
        <v>332</v>
      </c>
      <c r="C305" s="4" t="s">
        <v>265</v>
      </c>
      <c r="D305" s="4" t="s">
        <v>264</v>
      </c>
      <c r="E305" s="4" t="s">
        <v>538</v>
      </c>
      <c r="F305" s="4"/>
      <c r="G305" s="6" t="s">
        <v>402</v>
      </c>
      <c r="H305" s="53">
        <f>210.9-83.1</f>
        <v>127.80000000000001</v>
      </c>
      <c r="I305" s="53">
        <f>210.9-83.1</f>
        <v>127.80000000000001</v>
      </c>
      <c r="J305" s="53">
        <v>127.8</v>
      </c>
      <c r="K305" s="53">
        <v>127.8</v>
      </c>
      <c r="L305" s="83"/>
    </row>
    <row r="306" spans="1:12" ht="15.75" customHeight="1">
      <c r="A306" s="47" t="s">
        <v>309</v>
      </c>
      <c r="B306" s="3" t="s">
        <v>332</v>
      </c>
      <c r="C306" s="3" t="s">
        <v>265</v>
      </c>
      <c r="D306" s="3" t="s">
        <v>261</v>
      </c>
      <c r="E306" s="3"/>
      <c r="F306" s="3"/>
      <c r="G306" s="6"/>
      <c r="H306" s="48">
        <f>H307</f>
        <v>6234.3</v>
      </c>
      <c r="I306" s="48">
        <f>I307</f>
        <v>4234.3</v>
      </c>
      <c r="J306" s="48">
        <f>J307</f>
        <v>6234.3</v>
      </c>
      <c r="K306" s="48">
        <f>K307</f>
        <v>4234.3</v>
      </c>
      <c r="L306" s="63">
        <f>J306/H306*100</f>
        <v>100</v>
      </c>
    </row>
    <row r="307" spans="1:12" ht="15" customHeight="1">
      <c r="A307" s="2" t="s">
        <v>312</v>
      </c>
      <c r="B307" s="4" t="s">
        <v>332</v>
      </c>
      <c r="C307" s="4" t="s">
        <v>265</v>
      </c>
      <c r="D307" s="4" t="s">
        <v>261</v>
      </c>
      <c r="E307" s="4" t="s">
        <v>313</v>
      </c>
      <c r="F307" s="4"/>
      <c r="G307" s="6"/>
      <c r="H307" s="53">
        <f>H308+H310+H312</f>
        <v>6234.3</v>
      </c>
      <c r="I307" s="53">
        <f>I308+I310+I312</f>
        <v>4234.3</v>
      </c>
      <c r="J307" s="53">
        <f>J308+J310+J312</f>
        <v>6234.3</v>
      </c>
      <c r="K307" s="53">
        <f>K308+K310+K312</f>
        <v>4234.3</v>
      </c>
      <c r="L307" s="83"/>
    </row>
    <row r="308" spans="1:12" ht="43.5">
      <c r="A308" s="47" t="s">
        <v>96</v>
      </c>
      <c r="B308" s="4" t="s">
        <v>332</v>
      </c>
      <c r="C308" s="4" t="s">
        <v>265</v>
      </c>
      <c r="D308" s="4" t="s">
        <v>261</v>
      </c>
      <c r="E308" s="4" t="s">
        <v>611</v>
      </c>
      <c r="F308" s="4"/>
      <c r="G308" s="6" t="s">
        <v>227</v>
      </c>
      <c r="H308" s="53">
        <v>2000</v>
      </c>
      <c r="I308" s="53"/>
      <c r="J308" s="53">
        <v>2000</v>
      </c>
      <c r="K308" s="53"/>
      <c r="L308" s="83"/>
    </row>
    <row r="309" spans="1:12" ht="28.5">
      <c r="A309" s="2" t="s">
        <v>632</v>
      </c>
      <c r="B309" s="4" t="s">
        <v>332</v>
      </c>
      <c r="C309" s="4" t="s">
        <v>265</v>
      </c>
      <c r="D309" s="4" t="s">
        <v>261</v>
      </c>
      <c r="E309" s="4" t="s">
        <v>546</v>
      </c>
      <c r="F309" s="4"/>
      <c r="G309" s="6"/>
      <c r="H309" s="53">
        <f>H310</f>
        <v>4206.2</v>
      </c>
      <c r="I309" s="53">
        <f>I310</f>
        <v>4206.2</v>
      </c>
      <c r="J309" s="53">
        <f>J310</f>
        <v>4206.2</v>
      </c>
      <c r="K309" s="53">
        <f>K310</f>
        <v>4206.2</v>
      </c>
      <c r="L309" s="83"/>
    </row>
    <row r="310" spans="1:12" ht="42.75">
      <c r="A310" s="2" t="s">
        <v>429</v>
      </c>
      <c r="B310" s="4" t="s">
        <v>332</v>
      </c>
      <c r="C310" s="4" t="s">
        <v>265</v>
      </c>
      <c r="D310" s="4" t="s">
        <v>261</v>
      </c>
      <c r="E310" s="4" t="s">
        <v>546</v>
      </c>
      <c r="F310" s="4"/>
      <c r="G310" s="6" t="s">
        <v>402</v>
      </c>
      <c r="H310" s="53">
        <f>3656.1-28.1-340+168+500+350.2-100</f>
        <v>4206.2</v>
      </c>
      <c r="I310" s="53">
        <f>3656.1-28.1-340+168+500+350.2-100</f>
        <v>4206.2</v>
      </c>
      <c r="J310" s="53">
        <v>4206.2</v>
      </c>
      <c r="K310" s="53">
        <v>4206.2</v>
      </c>
      <c r="L310" s="83"/>
    </row>
    <row r="311" spans="1:12" ht="42.75">
      <c r="A311" s="2" t="s">
        <v>1</v>
      </c>
      <c r="B311" s="4" t="s">
        <v>332</v>
      </c>
      <c r="C311" s="4" t="s">
        <v>265</v>
      </c>
      <c r="D311" s="4" t="s">
        <v>261</v>
      </c>
      <c r="E311" s="4" t="s">
        <v>547</v>
      </c>
      <c r="F311" s="4"/>
      <c r="G311" s="6"/>
      <c r="H311" s="53">
        <f>H312</f>
        <v>28.1</v>
      </c>
      <c r="I311" s="53">
        <f>I312</f>
        <v>28.1</v>
      </c>
      <c r="J311" s="53">
        <f>J312</f>
        <v>28.1</v>
      </c>
      <c r="K311" s="53">
        <f>K312</f>
        <v>28.1</v>
      </c>
      <c r="L311" s="83"/>
    </row>
    <row r="312" spans="1:12" ht="42.75">
      <c r="A312" s="2" t="s">
        <v>429</v>
      </c>
      <c r="B312" s="4" t="s">
        <v>332</v>
      </c>
      <c r="C312" s="4" t="s">
        <v>265</v>
      </c>
      <c r="D312" s="4" t="s">
        <v>261</v>
      </c>
      <c r="E312" s="4" t="s">
        <v>547</v>
      </c>
      <c r="F312" s="4"/>
      <c r="G312" s="6" t="s">
        <v>402</v>
      </c>
      <c r="H312" s="53">
        <v>28.1</v>
      </c>
      <c r="I312" s="53">
        <v>28.1</v>
      </c>
      <c r="J312" s="53">
        <v>28.1</v>
      </c>
      <c r="K312" s="53">
        <v>28.1</v>
      </c>
      <c r="L312" s="83"/>
    </row>
    <row r="313" spans="1:12" ht="20.25" customHeight="1">
      <c r="A313" s="47" t="s">
        <v>475</v>
      </c>
      <c r="B313" s="3" t="s">
        <v>332</v>
      </c>
      <c r="C313" s="3" t="s">
        <v>265</v>
      </c>
      <c r="D313" s="3" t="s">
        <v>265</v>
      </c>
      <c r="E313" s="3"/>
      <c r="F313" s="3"/>
      <c r="G313" s="5"/>
      <c r="H313" s="48">
        <f>H314+H318</f>
        <v>126670.1</v>
      </c>
      <c r="I313" s="48">
        <f>I314+I318</f>
        <v>126670.1</v>
      </c>
      <c r="J313" s="48">
        <f>J314+J318</f>
        <v>124701.8</v>
      </c>
      <c r="K313" s="48">
        <f>K314+K318</f>
        <v>124701.8</v>
      </c>
      <c r="L313" s="63">
        <f>J313/H313*100</f>
        <v>98.44612106566585</v>
      </c>
    </row>
    <row r="314" spans="1:12" ht="14.25">
      <c r="A314" s="2" t="s">
        <v>530</v>
      </c>
      <c r="B314" s="4" t="s">
        <v>332</v>
      </c>
      <c r="C314" s="4" t="s">
        <v>265</v>
      </c>
      <c r="D314" s="4" t="s">
        <v>265</v>
      </c>
      <c r="E314" s="4" t="s">
        <v>528</v>
      </c>
      <c r="F314" s="4"/>
      <c r="G314" s="6"/>
      <c r="H314" s="53">
        <f aca="true" t="shared" si="25" ref="H314:K316">H315</f>
        <v>6670.1</v>
      </c>
      <c r="I314" s="53">
        <f t="shared" si="25"/>
        <v>6670.1</v>
      </c>
      <c r="J314" s="53">
        <f t="shared" si="25"/>
        <v>6641.1</v>
      </c>
      <c r="K314" s="53">
        <f t="shared" si="25"/>
        <v>6641.1</v>
      </c>
      <c r="L314" s="83"/>
    </row>
    <row r="315" spans="1:12" ht="42.75">
      <c r="A315" s="2" t="s">
        <v>473</v>
      </c>
      <c r="B315" s="4" t="s">
        <v>332</v>
      </c>
      <c r="C315" s="4" t="s">
        <v>265</v>
      </c>
      <c r="D315" s="4" t="s">
        <v>265</v>
      </c>
      <c r="E315" s="4" t="s">
        <v>471</v>
      </c>
      <c r="F315" s="4"/>
      <c r="G315" s="6"/>
      <c r="H315" s="53">
        <f t="shared" si="25"/>
        <v>6670.1</v>
      </c>
      <c r="I315" s="53">
        <f t="shared" si="25"/>
        <v>6670.1</v>
      </c>
      <c r="J315" s="53">
        <f t="shared" si="25"/>
        <v>6641.1</v>
      </c>
      <c r="K315" s="53">
        <f t="shared" si="25"/>
        <v>6641.1</v>
      </c>
      <c r="L315" s="83"/>
    </row>
    <row r="316" spans="1:12" ht="28.5">
      <c r="A316" s="7" t="s">
        <v>474</v>
      </c>
      <c r="B316" s="4" t="s">
        <v>332</v>
      </c>
      <c r="C316" s="4" t="s">
        <v>265</v>
      </c>
      <c r="D316" s="4" t="s">
        <v>265</v>
      </c>
      <c r="E316" s="4" t="s">
        <v>472</v>
      </c>
      <c r="F316" s="4"/>
      <c r="G316" s="6"/>
      <c r="H316" s="53">
        <f t="shared" si="25"/>
        <v>6670.1</v>
      </c>
      <c r="I316" s="53">
        <f t="shared" si="25"/>
        <v>6670.1</v>
      </c>
      <c r="J316" s="53">
        <f t="shared" si="25"/>
        <v>6641.1</v>
      </c>
      <c r="K316" s="53">
        <f t="shared" si="25"/>
        <v>6641.1</v>
      </c>
      <c r="L316" s="83"/>
    </row>
    <row r="317" spans="1:12" ht="14.25">
      <c r="A317" s="7" t="s">
        <v>399</v>
      </c>
      <c r="B317" s="4" t="s">
        <v>332</v>
      </c>
      <c r="C317" s="4" t="s">
        <v>265</v>
      </c>
      <c r="D317" s="4" t="s">
        <v>265</v>
      </c>
      <c r="E317" s="4" t="s">
        <v>472</v>
      </c>
      <c r="F317" s="4"/>
      <c r="G317" s="6" t="s">
        <v>398</v>
      </c>
      <c r="H317" s="53">
        <v>6670.1</v>
      </c>
      <c r="I317" s="53">
        <v>6670.1</v>
      </c>
      <c r="J317" s="53">
        <v>6641.1</v>
      </c>
      <c r="K317" s="53">
        <v>6641.1</v>
      </c>
      <c r="L317" s="83"/>
    </row>
    <row r="318" spans="1:12" ht="42.75">
      <c r="A318" s="7" t="s">
        <v>335</v>
      </c>
      <c r="B318" s="4" t="s">
        <v>332</v>
      </c>
      <c r="C318" s="4" t="s">
        <v>265</v>
      </c>
      <c r="D318" s="4" t="s">
        <v>265</v>
      </c>
      <c r="E318" s="4" t="s">
        <v>334</v>
      </c>
      <c r="F318" s="4"/>
      <c r="G318" s="6"/>
      <c r="H318" s="53">
        <f aca="true" t="shared" si="26" ref="H318:K320">H319</f>
        <v>120000</v>
      </c>
      <c r="I318" s="53">
        <f t="shared" si="26"/>
        <v>120000</v>
      </c>
      <c r="J318" s="53">
        <f t="shared" si="26"/>
        <v>118060.7</v>
      </c>
      <c r="K318" s="53">
        <f t="shared" si="26"/>
        <v>118060.7</v>
      </c>
      <c r="L318" s="83"/>
    </row>
    <row r="319" spans="1:12" ht="28.5">
      <c r="A319" s="7" t="s">
        <v>337</v>
      </c>
      <c r="B319" s="4" t="s">
        <v>332</v>
      </c>
      <c r="C319" s="4" t="s">
        <v>265</v>
      </c>
      <c r="D319" s="4" t="s">
        <v>265</v>
      </c>
      <c r="E319" s="4" t="s">
        <v>336</v>
      </c>
      <c r="F319" s="4"/>
      <c r="G319" s="6"/>
      <c r="H319" s="53">
        <f t="shared" si="26"/>
        <v>120000</v>
      </c>
      <c r="I319" s="53">
        <f t="shared" si="26"/>
        <v>120000</v>
      </c>
      <c r="J319" s="53">
        <f t="shared" si="26"/>
        <v>118060.7</v>
      </c>
      <c r="K319" s="53">
        <f t="shared" si="26"/>
        <v>118060.7</v>
      </c>
      <c r="L319" s="83"/>
    </row>
    <row r="320" spans="1:12" ht="28.5">
      <c r="A320" s="7" t="s">
        <v>339</v>
      </c>
      <c r="B320" s="4" t="s">
        <v>332</v>
      </c>
      <c r="C320" s="4" t="s">
        <v>265</v>
      </c>
      <c r="D320" s="4" t="s">
        <v>265</v>
      </c>
      <c r="E320" s="4" t="s">
        <v>338</v>
      </c>
      <c r="F320" s="4"/>
      <c r="G320" s="6"/>
      <c r="H320" s="53">
        <f t="shared" si="26"/>
        <v>120000</v>
      </c>
      <c r="I320" s="53">
        <f t="shared" si="26"/>
        <v>120000</v>
      </c>
      <c r="J320" s="53">
        <f t="shared" si="26"/>
        <v>118060.7</v>
      </c>
      <c r="K320" s="53">
        <f t="shared" si="26"/>
        <v>118060.7</v>
      </c>
      <c r="L320" s="83"/>
    </row>
    <row r="321" spans="1:12" ht="14.25">
      <c r="A321" s="7" t="s">
        <v>399</v>
      </c>
      <c r="B321" s="4" t="s">
        <v>332</v>
      </c>
      <c r="C321" s="4" t="s">
        <v>265</v>
      </c>
      <c r="D321" s="4" t="s">
        <v>265</v>
      </c>
      <c r="E321" s="4" t="s">
        <v>338</v>
      </c>
      <c r="F321" s="4"/>
      <c r="G321" s="6" t="s">
        <v>398</v>
      </c>
      <c r="H321" s="53">
        <v>120000</v>
      </c>
      <c r="I321" s="53">
        <v>120000</v>
      </c>
      <c r="J321" s="53">
        <v>118060.7</v>
      </c>
      <c r="K321" s="53">
        <v>118060.7</v>
      </c>
      <c r="L321" s="83"/>
    </row>
    <row r="322" spans="1:12" ht="15">
      <c r="A322" s="47" t="s">
        <v>144</v>
      </c>
      <c r="B322" s="3" t="s">
        <v>332</v>
      </c>
      <c r="C322" s="3" t="s">
        <v>266</v>
      </c>
      <c r="D322" s="3"/>
      <c r="E322" s="3"/>
      <c r="F322" s="3"/>
      <c r="G322" s="5"/>
      <c r="H322" s="48">
        <f>H323+H327+H338</f>
        <v>46379.8</v>
      </c>
      <c r="I322" s="48">
        <f>I323+I327+I338</f>
        <v>38274</v>
      </c>
      <c r="J322" s="48">
        <f>J323+J327+J338</f>
        <v>40380.6</v>
      </c>
      <c r="K322" s="48">
        <f>K323+K327+K338</f>
        <v>32705.7</v>
      </c>
      <c r="L322" s="63">
        <f>J322/H322*100</f>
        <v>87.0650584952932</v>
      </c>
    </row>
    <row r="323" spans="1:12" ht="15">
      <c r="A323" s="47" t="s">
        <v>172</v>
      </c>
      <c r="B323" s="3" t="s">
        <v>332</v>
      </c>
      <c r="C323" s="3" t="s">
        <v>266</v>
      </c>
      <c r="D323" s="3" t="s">
        <v>259</v>
      </c>
      <c r="E323" s="3"/>
      <c r="F323" s="3"/>
      <c r="G323" s="6"/>
      <c r="H323" s="48">
        <f>H324</f>
        <v>1634.5</v>
      </c>
      <c r="I323" s="48">
        <f aca="true" t="shared" si="27" ref="I323:K325">I324</f>
        <v>0</v>
      </c>
      <c r="J323" s="48">
        <f t="shared" si="27"/>
        <v>1335.3</v>
      </c>
      <c r="K323" s="48">
        <f t="shared" si="27"/>
        <v>0</v>
      </c>
      <c r="L323" s="83"/>
    </row>
    <row r="324" spans="1:12" ht="28.5">
      <c r="A324" s="2" t="s">
        <v>285</v>
      </c>
      <c r="B324" s="4" t="s">
        <v>332</v>
      </c>
      <c r="C324" s="4" t="s">
        <v>266</v>
      </c>
      <c r="D324" s="4" t="s">
        <v>259</v>
      </c>
      <c r="E324" s="4" t="s">
        <v>286</v>
      </c>
      <c r="F324" s="4"/>
      <c r="G324" s="6"/>
      <c r="H324" s="53">
        <f>H325</f>
        <v>1634.5</v>
      </c>
      <c r="I324" s="53">
        <f t="shared" si="27"/>
        <v>0</v>
      </c>
      <c r="J324" s="53">
        <f t="shared" si="27"/>
        <v>1335.3</v>
      </c>
      <c r="K324" s="53">
        <f t="shared" si="27"/>
        <v>0</v>
      </c>
      <c r="L324" s="83"/>
    </row>
    <row r="325" spans="1:12" ht="28.5">
      <c r="A325" s="2" t="s">
        <v>216</v>
      </c>
      <c r="B325" s="4" t="s">
        <v>332</v>
      </c>
      <c r="C325" s="4" t="s">
        <v>266</v>
      </c>
      <c r="D325" s="4" t="s">
        <v>259</v>
      </c>
      <c r="E325" s="4" t="s">
        <v>287</v>
      </c>
      <c r="F325" s="4"/>
      <c r="G325" s="6"/>
      <c r="H325" s="53">
        <f>H326</f>
        <v>1634.5</v>
      </c>
      <c r="I325" s="53">
        <f t="shared" si="27"/>
        <v>0</v>
      </c>
      <c r="J325" s="53">
        <f t="shared" si="27"/>
        <v>1335.3</v>
      </c>
      <c r="K325" s="53">
        <f t="shared" si="27"/>
        <v>0</v>
      </c>
      <c r="L325" s="83"/>
    </row>
    <row r="326" spans="1:12" ht="14.25">
      <c r="A326" s="2" t="s">
        <v>426</v>
      </c>
      <c r="B326" s="4" t="s">
        <v>332</v>
      </c>
      <c r="C326" s="4" t="s">
        <v>266</v>
      </c>
      <c r="D326" s="4" t="s">
        <v>259</v>
      </c>
      <c r="E326" s="4" t="s">
        <v>287</v>
      </c>
      <c r="F326" s="4"/>
      <c r="G326" s="6" t="s">
        <v>425</v>
      </c>
      <c r="H326" s="53">
        <v>1634.5</v>
      </c>
      <c r="I326" s="53"/>
      <c r="J326" s="53">
        <v>1335.3</v>
      </c>
      <c r="K326" s="53"/>
      <c r="L326" s="83"/>
    </row>
    <row r="327" spans="1:12" ht="15">
      <c r="A327" s="47" t="s">
        <v>201</v>
      </c>
      <c r="B327" s="3" t="s">
        <v>332</v>
      </c>
      <c r="C327" s="3" t="s">
        <v>266</v>
      </c>
      <c r="D327" s="3" t="s">
        <v>264</v>
      </c>
      <c r="E327" s="3"/>
      <c r="F327" s="3"/>
      <c r="G327" s="6"/>
      <c r="H327" s="48">
        <f>H328+H333</f>
        <v>39382.3</v>
      </c>
      <c r="I327" s="48">
        <f>I328+I333</f>
        <v>38274</v>
      </c>
      <c r="J327" s="48">
        <f>J328+J333</f>
        <v>33748.7</v>
      </c>
      <c r="K327" s="48">
        <f>K328+K333</f>
        <v>32705.7</v>
      </c>
      <c r="L327" s="63">
        <f>J327/H327*100</f>
        <v>85.69509652813572</v>
      </c>
    </row>
    <row r="328" spans="1:12" ht="14.25">
      <c r="A328" s="2" t="s">
        <v>288</v>
      </c>
      <c r="B328" s="4" t="s">
        <v>332</v>
      </c>
      <c r="C328" s="4" t="s">
        <v>266</v>
      </c>
      <c r="D328" s="4" t="s">
        <v>264</v>
      </c>
      <c r="E328" s="4" t="s">
        <v>196</v>
      </c>
      <c r="F328" s="4"/>
      <c r="G328" s="6"/>
      <c r="H328" s="53">
        <f>H329</f>
        <v>1108.3</v>
      </c>
      <c r="I328" s="53">
        <f>I329</f>
        <v>0</v>
      </c>
      <c r="J328" s="53">
        <f>J329</f>
        <v>1043</v>
      </c>
      <c r="K328" s="53">
        <f>K329</f>
        <v>0</v>
      </c>
      <c r="L328" s="83"/>
    </row>
    <row r="329" spans="1:12" ht="14.25">
      <c r="A329" s="2" t="s">
        <v>289</v>
      </c>
      <c r="B329" s="4" t="s">
        <v>332</v>
      </c>
      <c r="C329" s="4" t="s">
        <v>266</v>
      </c>
      <c r="D329" s="4" t="s">
        <v>264</v>
      </c>
      <c r="E329" s="4" t="s">
        <v>318</v>
      </c>
      <c r="F329" s="4" t="s">
        <v>197</v>
      </c>
      <c r="G329" s="4"/>
      <c r="H329" s="53">
        <f>H331+H330+H332</f>
        <v>1108.3</v>
      </c>
      <c r="I329" s="53">
        <f>I331+I330+I332</f>
        <v>0</v>
      </c>
      <c r="J329" s="53">
        <f>J331+J330+J332</f>
        <v>1043</v>
      </c>
      <c r="K329" s="53">
        <f>K331+K330+K332</f>
        <v>0</v>
      </c>
      <c r="L329" s="83"/>
    </row>
    <row r="330" spans="1:12" ht="28.5">
      <c r="A330" s="2" t="s">
        <v>431</v>
      </c>
      <c r="B330" s="4" t="s">
        <v>332</v>
      </c>
      <c r="C330" s="4" t="s">
        <v>266</v>
      </c>
      <c r="D330" s="4" t="s">
        <v>264</v>
      </c>
      <c r="E330" s="4" t="s">
        <v>318</v>
      </c>
      <c r="F330" s="4"/>
      <c r="G330" s="4" t="s">
        <v>421</v>
      </c>
      <c r="H330" s="53">
        <v>36.8</v>
      </c>
      <c r="I330" s="53"/>
      <c r="J330" s="53">
        <v>36.8</v>
      </c>
      <c r="K330" s="53"/>
      <c r="L330" s="83"/>
    </row>
    <row r="331" spans="1:12" ht="28.5">
      <c r="A331" s="7" t="s">
        <v>457</v>
      </c>
      <c r="B331" s="4" t="s">
        <v>332</v>
      </c>
      <c r="C331" s="4" t="s">
        <v>266</v>
      </c>
      <c r="D331" s="4" t="s">
        <v>264</v>
      </c>
      <c r="E331" s="4" t="s">
        <v>318</v>
      </c>
      <c r="F331" s="4"/>
      <c r="G331" s="6" t="s">
        <v>456</v>
      </c>
      <c r="H331" s="53">
        <v>915</v>
      </c>
      <c r="I331" s="53"/>
      <c r="J331" s="53">
        <v>849.7</v>
      </c>
      <c r="K331" s="53"/>
      <c r="L331" s="83"/>
    </row>
    <row r="332" spans="1:12" ht="28.5">
      <c r="A332" s="2" t="s">
        <v>411</v>
      </c>
      <c r="B332" s="4" t="s">
        <v>332</v>
      </c>
      <c r="C332" s="4" t="s">
        <v>266</v>
      </c>
      <c r="D332" s="4" t="s">
        <v>264</v>
      </c>
      <c r="E332" s="4" t="s">
        <v>318</v>
      </c>
      <c r="F332" s="4"/>
      <c r="G332" s="6" t="s">
        <v>407</v>
      </c>
      <c r="H332" s="53">
        <v>156.5</v>
      </c>
      <c r="I332" s="53"/>
      <c r="J332" s="53">
        <v>156.5</v>
      </c>
      <c r="K332" s="53"/>
      <c r="L332" s="83"/>
    </row>
    <row r="333" spans="1:12" ht="42.75">
      <c r="A333" s="7" t="s">
        <v>554</v>
      </c>
      <c r="B333" s="4" t="s">
        <v>332</v>
      </c>
      <c r="C333" s="4" t="s">
        <v>266</v>
      </c>
      <c r="D333" s="4" t="s">
        <v>264</v>
      </c>
      <c r="E333" s="4" t="s">
        <v>531</v>
      </c>
      <c r="F333" s="4"/>
      <c r="G333" s="6"/>
      <c r="H333" s="53">
        <f>H335</f>
        <v>38274</v>
      </c>
      <c r="I333" s="53">
        <f>I335</f>
        <v>38274</v>
      </c>
      <c r="J333" s="53">
        <f>J335</f>
        <v>32705.7</v>
      </c>
      <c r="K333" s="53">
        <f>K335</f>
        <v>32705.7</v>
      </c>
      <c r="L333" s="83"/>
    </row>
    <row r="334" spans="1:12" ht="28.5">
      <c r="A334" s="2" t="s">
        <v>615</v>
      </c>
      <c r="B334" s="4" t="s">
        <v>332</v>
      </c>
      <c r="C334" s="4" t="s">
        <v>266</v>
      </c>
      <c r="D334" s="4" t="s">
        <v>264</v>
      </c>
      <c r="E334" s="4" t="s">
        <v>614</v>
      </c>
      <c r="F334" s="4"/>
      <c r="G334" s="6"/>
      <c r="H334" s="53">
        <f>H335</f>
        <v>38274</v>
      </c>
      <c r="I334" s="53">
        <f>I335</f>
        <v>38274</v>
      </c>
      <c r="J334" s="53">
        <f>J335</f>
        <v>32705.7</v>
      </c>
      <c r="K334" s="53">
        <f>K335</f>
        <v>32705.7</v>
      </c>
      <c r="L334" s="83"/>
    </row>
    <row r="335" spans="1:12" ht="28.5">
      <c r="A335" s="2" t="s">
        <v>243</v>
      </c>
      <c r="B335" s="4" t="s">
        <v>332</v>
      </c>
      <c r="C335" s="4" t="s">
        <v>266</v>
      </c>
      <c r="D335" s="4" t="s">
        <v>264</v>
      </c>
      <c r="E335" s="4" t="s">
        <v>27</v>
      </c>
      <c r="F335" s="4"/>
      <c r="G335" s="6"/>
      <c r="H335" s="53">
        <f>H336+H337</f>
        <v>38274</v>
      </c>
      <c r="I335" s="53">
        <f>I336+I337</f>
        <v>38274</v>
      </c>
      <c r="J335" s="53">
        <f>J336+J337</f>
        <v>32705.7</v>
      </c>
      <c r="K335" s="53">
        <f>K336+K337</f>
        <v>32705.7</v>
      </c>
      <c r="L335" s="83"/>
    </row>
    <row r="336" spans="1:12" ht="28.5">
      <c r="A336" s="2" t="s">
        <v>431</v>
      </c>
      <c r="B336" s="4" t="s">
        <v>332</v>
      </c>
      <c r="C336" s="4" t="s">
        <v>266</v>
      </c>
      <c r="D336" s="4" t="s">
        <v>264</v>
      </c>
      <c r="E336" s="4" t="s">
        <v>27</v>
      </c>
      <c r="F336" s="4"/>
      <c r="G336" s="6" t="s">
        <v>421</v>
      </c>
      <c r="H336" s="53">
        <f>408+12</f>
        <v>420</v>
      </c>
      <c r="I336" s="53">
        <f>408+12</f>
        <v>420</v>
      </c>
      <c r="J336" s="53">
        <v>253</v>
      </c>
      <c r="K336" s="53">
        <v>253</v>
      </c>
      <c r="L336" s="83"/>
    </row>
    <row r="337" spans="1:12" ht="28.5">
      <c r="A337" s="2" t="s">
        <v>411</v>
      </c>
      <c r="B337" s="4" t="s">
        <v>332</v>
      </c>
      <c r="C337" s="4" t="s">
        <v>266</v>
      </c>
      <c r="D337" s="4" t="s">
        <v>264</v>
      </c>
      <c r="E337" s="4" t="s">
        <v>27</v>
      </c>
      <c r="F337" s="4"/>
      <c r="G337" s="6" t="s">
        <v>407</v>
      </c>
      <c r="H337" s="53">
        <f>52866-12-15000</f>
        <v>37854</v>
      </c>
      <c r="I337" s="53">
        <f>52866-12-15000</f>
        <v>37854</v>
      </c>
      <c r="J337" s="53">
        <v>32452.7</v>
      </c>
      <c r="K337" s="53">
        <v>32452.7</v>
      </c>
      <c r="L337" s="83"/>
    </row>
    <row r="338" spans="1:12" ht="15">
      <c r="A338" s="47" t="s">
        <v>222</v>
      </c>
      <c r="B338" s="3" t="s">
        <v>332</v>
      </c>
      <c r="C338" s="3" t="s">
        <v>266</v>
      </c>
      <c r="D338" s="3" t="s">
        <v>272</v>
      </c>
      <c r="E338" s="3"/>
      <c r="F338" s="3"/>
      <c r="G338" s="6"/>
      <c r="H338" s="48">
        <f>H342+H339</f>
        <v>5363</v>
      </c>
      <c r="I338" s="48">
        <f>I342+I339</f>
        <v>0</v>
      </c>
      <c r="J338" s="48">
        <f>J342+J339</f>
        <v>5296.6</v>
      </c>
      <c r="K338" s="48">
        <f>K342+K339</f>
        <v>0</v>
      </c>
      <c r="L338" s="83"/>
    </row>
    <row r="339" spans="1:12" ht="15">
      <c r="A339" s="2" t="s">
        <v>205</v>
      </c>
      <c r="B339" s="4" t="s">
        <v>332</v>
      </c>
      <c r="C339" s="4" t="s">
        <v>266</v>
      </c>
      <c r="D339" s="4" t="s">
        <v>272</v>
      </c>
      <c r="E339" s="4" t="s">
        <v>204</v>
      </c>
      <c r="F339" s="3"/>
      <c r="G339" s="6"/>
      <c r="H339" s="53">
        <f>H340</f>
        <v>70</v>
      </c>
      <c r="I339" s="53">
        <f aca="true" t="shared" si="28" ref="I339:K340">I340</f>
        <v>0</v>
      </c>
      <c r="J339" s="53">
        <f t="shared" si="28"/>
        <v>70</v>
      </c>
      <c r="K339" s="53">
        <f t="shared" si="28"/>
        <v>0</v>
      </c>
      <c r="L339" s="83"/>
    </row>
    <row r="340" spans="1:12" ht="29.25">
      <c r="A340" s="2" t="s">
        <v>599</v>
      </c>
      <c r="B340" s="4" t="s">
        <v>332</v>
      </c>
      <c r="C340" s="4" t="s">
        <v>266</v>
      </c>
      <c r="D340" s="4" t="s">
        <v>272</v>
      </c>
      <c r="E340" s="4" t="s">
        <v>204</v>
      </c>
      <c r="F340" s="3"/>
      <c r="G340" s="6" t="s">
        <v>526</v>
      </c>
      <c r="H340" s="53">
        <f>H341</f>
        <v>70</v>
      </c>
      <c r="I340" s="53">
        <f t="shared" si="28"/>
        <v>0</v>
      </c>
      <c r="J340" s="78">
        <f t="shared" si="28"/>
        <v>70</v>
      </c>
      <c r="K340" s="53">
        <f t="shared" si="28"/>
        <v>0</v>
      </c>
      <c r="L340" s="83"/>
    </row>
    <row r="341" spans="1:12" ht="29.25">
      <c r="A341" s="2" t="s">
        <v>431</v>
      </c>
      <c r="B341" s="4" t="s">
        <v>332</v>
      </c>
      <c r="C341" s="4" t="s">
        <v>266</v>
      </c>
      <c r="D341" s="4" t="s">
        <v>272</v>
      </c>
      <c r="E341" s="4" t="s">
        <v>204</v>
      </c>
      <c r="F341" s="3"/>
      <c r="G341" s="6" t="s">
        <v>421</v>
      </c>
      <c r="H341" s="53">
        <v>70</v>
      </c>
      <c r="I341" s="48"/>
      <c r="J341" s="53">
        <v>70</v>
      </c>
      <c r="K341" s="53"/>
      <c r="L341" s="83"/>
    </row>
    <row r="342" spans="1:12" ht="14.25">
      <c r="A342" s="2" t="s">
        <v>223</v>
      </c>
      <c r="B342" s="4" t="s">
        <v>332</v>
      </c>
      <c r="C342" s="4" t="s">
        <v>266</v>
      </c>
      <c r="D342" s="4" t="s">
        <v>272</v>
      </c>
      <c r="E342" s="4" t="s">
        <v>224</v>
      </c>
      <c r="F342" s="4" t="s">
        <v>175</v>
      </c>
      <c r="G342" s="6"/>
      <c r="H342" s="53">
        <f>H343</f>
        <v>5293</v>
      </c>
      <c r="I342" s="53">
        <f>I343</f>
        <v>0</v>
      </c>
      <c r="J342" s="53">
        <f>J343</f>
        <v>5226.6</v>
      </c>
      <c r="K342" s="53">
        <f>K343</f>
        <v>0</v>
      </c>
      <c r="L342" s="83"/>
    </row>
    <row r="343" spans="1:12" ht="42.75">
      <c r="A343" s="7" t="s">
        <v>364</v>
      </c>
      <c r="B343" s="4" t="s">
        <v>332</v>
      </c>
      <c r="C343" s="4" t="s">
        <v>266</v>
      </c>
      <c r="D343" s="4" t="s">
        <v>272</v>
      </c>
      <c r="E343" s="4" t="s">
        <v>291</v>
      </c>
      <c r="F343" s="4" t="s">
        <v>175</v>
      </c>
      <c r="G343" s="6"/>
      <c r="H343" s="53">
        <f>H344+H346+H347+H348</f>
        <v>5293</v>
      </c>
      <c r="I343" s="53">
        <f>I344+I346+I347+I348</f>
        <v>0</v>
      </c>
      <c r="J343" s="53">
        <f>J344+J346+J347+J348</f>
        <v>5226.6</v>
      </c>
      <c r="K343" s="53">
        <f>K344+K346+K347+K348</f>
        <v>0</v>
      </c>
      <c r="L343" s="83"/>
    </row>
    <row r="344" spans="1:12" ht="27.75" customHeight="1">
      <c r="A344" s="2" t="s">
        <v>431</v>
      </c>
      <c r="B344" s="4" t="s">
        <v>332</v>
      </c>
      <c r="C344" s="4" t="s">
        <v>266</v>
      </c>
      <c r="D344" s="4" t="s">
        <v>272</v>
      </c>
      <c r="E344" s="4" t="s">
        <v>291</v>
      </c>
      <c r="F344" s="4"/>
      <c r="G344" s="6" t="s">
        <v>421</v>
      </c>
      <c r="H344" s="53">
        <f>823+25.7+0.5-0.1</f>
        <v>849.1</v>
      </c>
      <c r="I344" s="53"/>
      <c r="J344" s="53">
        <v>834.1</v>
      </c>
      <c r="K344" s="53"/>
      <c r="L344" s="83"/>
    </row>
    <row r="345" spans="1:12" ht="18" customHeight="1">
      <c r="A345" s="27" t="s">
        <v>107</v>
      </c>
      <c r="B345" s="4" t="s">
        <v>332</v>
      </c>
      <c r="C345" s="4" t="s">
        <v>266</v>
      </c>
      <c r="D345" s="4" t="s">
        <v>272</v>
      </c>
      <c r="E345" s="4" t="s">
        <v>291</v>
      </c>
      <c r="F345" s="4"/>
      <c r="G345" s="6" t="s">
        <v>602</v>
      </c>
      <c r="H345" s="53">
        <f>H346+H347</f>
        <v>2613</v>
      </c>
      <c r="I345" s="53">
        <f>I346+I347</f>
        <v>0</v>
      </c>
      <c r="J345" s="53">
        <f>J346+J347</f>
        <v>2562.4</v>
      </c>
      <c r="K345" s="53">
        <f>K346+K347</f>
        <v>0</v>
      </c>
      <c r="L345" s="83"/>
    </row>
    <row r="346" spans="1:12" ht="28.5">
      <c r="A346" s="2" t="s">
        <v>459</v>
      </c>
      <c r="B346" s="4" t="s">
        <v>332</v>
      </c>
      <c r="C346" s="4" t="s">
        <v>266</v>
      </c>
      <c r="D346" s="4" t="s">
        <v>272</v>
      </c>
      <c r="E346" s="4" t="s">
        <v>291</v>
      </c>
      <c r="F346" s="4"/>
      <c r="G346" s="6" t="s">
        <v>458</v>
      </c>
      <c r="H346" s="53">
        <v>182</v>
      </c>
      <c r="I346" s="53"/>
      <c r="J346" s="53">
        <v>131.4</v>
      </c>
      <c r="K346" s="53"/>
      <c r="L346" s="83"/>
    </row>
    <row r="347" spans="1:12" ht="28.5">
      <c r="A347" s="7" t="s">
        <v>457</v>
      </c>
      <c r="B347" s="4" t="s">
        <v>332</v>
      </c>
      <c r="C347" s="4" t="s">
        <v>266</v>
      </c>
      <c r="D347" s="4" t="s">
        <v>272</v>
      </c>
      <c r="E347" s="4" t="s">
        <v>291</v>
      </c>
      <c r="F347" s="4"/>
      <c r="G347" s="6" t="s">
        <v>456</v>
      </c>
      <c r="H347" s="53">
        <v>2431</v>
      </c>
      <c r="I347" s="53"/>
      <c r="J347" s="53">
        <v>2431</v>
      </c>
      <c r="K347" s="53"/>
      <c r="L347" s="83"/>
    </row>
    <row r="348" spans="1:12" ht="14.25">
      <c r="A348" s="2" t="s">
        <v>423</v>
      </c>
      <c r="B348" s="4" t="s">
        <v>332</v>
      </c>
      <c r="C348" s="4" t="s">
        <v>266</v>
      </c>
      <c r="D348" s="4" t="s">
        <v>272</v>
      </c>
      <c r="E348" s="4" t="s">
        <v>291</v>
      </c>
      <c r="F348" s="4"/>
      <c r="G348" s="6" t="s">
        <v>422</v>
      </c>
      <c r="H348" s="53">
        <v>1830.9</v>
      </c>
      <c r="I348" s="53"/>
      <c r="J348" s="53">
        <v>1830.1</v>
      </c>
      <c r="K348" s="53"/>
      <c r="L348" s="83"/>
    </row>
    <row r="349" spans="1:12" ht="15">
      <c r="A349" s="47" t="s">
        <v>283</v>
      </c>
      <c r="B349" s="3" t="s">
        <v>332</v>
      </c>
      <c r="C349" s="3" t="s">
        <v>327</v>
      </c>
      <c r="D349" s="3"/>
      <c r="E349" s="3"/>
      <c r="F349" s="3"/>
      <c r="G349" s="5"/>
      <c r="H349" s="48">
        <f>H350</f>
        <v>413237</v>
      </c>
      <c r="I349" s="48">
        <f>I350</f>
        <v>312520</v>
      </c>
      <c r="J349" s="48">
        <f>J350</f>
        <v>412653.69999999995</v>
      </c>
      <c r="K349" s="48">
        <f>K350</f>
        <v>312519.8</v>
      </c>
      <c r="L349" s="63">
        <f>J349/H349*100</f>
        <v>99.85884613430065</v>
      </c>
    </row>
    <row r="350" spans="1:12" ht="15">
      <c r="A350" s="47" t="s">
        <v>331</v>
      </c>
      <c r="B350" s="3" t="s">
        <v>332</v>
      </c>
      <c r="C350" s="3" t="s">
        <v>327</v>
      </c>
      <c r="D350" s="3" t="s">
        <v>259</v>
      </c>
      <c r="E350" s="3"/>
      <c r="F350" s="3"/>
      <c r="G350" s="6"/>
      <c r="H350" s="48">
        <f>H355+H351</f>
        <v>413237</v>
      </c>
      <c r="I350" s="48">
        <f>I355+I351</f>
        <v>312520</v>
      </c>
      <c r="J350" s="48">
        <f>J355+J351</f>
        <v>412653.69999999995</v>
      </c>
      <c r="K350" s="48">
        <f>K355+K351</f>
        <v>312519.8</v>
      </c>
      <c r="L350" s="63">
        <f>J350/H350*100</f>
        <v>99.85884613430065</v>
      </c>
    </row>
    <row r="351" spans="1:12" ht="15">
      <c r="A351" s="2" t="s">
        <v>530</v>
      </c>
      <c r="B351" s="4" t="s">
        <v>332</v>
      </c>
      <c r="C351" s="4" t="s">
        <v>327</v>
      </c>
      <c r="D351" s="4" t="s">
        <v>259</v>
      </c>
      <c r="E351" s="4" t="s">
        <v>528</v>
      </c>
      <c r="F351" s="3"/>
      <c r="G351" s="6"/>
      <c r="H351" s="53">
        <f aca="true" t="shared" si="29" ref="H351:K353">H352</f>
        <v>312520</v>
      </c>
      <c r="I351" s="53">
        <f t="shared" si="29"/>
        <v>312520</v>
      </c>
      <c r="J351" s="53">
        <f t="shared" si="29"/>
        <v>312519.8</v>
      </c>
      <c r="K351" s="53">
        <f t="shared" si="29"/>
        <v>312519.8</v>
      </c>
      <c r="L351" s="83"/>
    </row>
    <row r="352" spans="1:12" ht="43.5">
      <c r="A352" s="2" t="s">
        <v>564</v>
      </c>
      <c r="B352" s="4" t="s">
        <v>332</v>
      </c>
      <c r="C352" s="4" t="s">
        <v>327</v>
      </c>
      <c r="D352" s="4" t="s">
        <v>259</v>
      </c>
      <c r="E352" s="4" t="s">
        <v>558</v>
      </c>
      <c r="F352" s="3"/>
      <c r="G352" s="6"/>
      <c r="H352" s="53">
        <f t="shared" si="29"/>
        <v>312520</v>
      </c>
      <c r="I352" s="53">
        <f t="shared" si="29"/>
        <v>312520</v>
      </c>
      <c r="J352" s="53">
        <f t="shared" si="29"/>
        <v>312519.8</v>
      </c>
      <c r="K352" s="53">
        <f t="shared" si="29"/>
        <v>312519.8</v>
      </c>
      <c r="L352" s="83"/>
    </row>
    <row r="353" spans="1:12" ht="29.25">
      <c r="A353" s="2" t="s">
        <v>566</v>
      </c>
      <c r="B353" s="4" t="s">
        <v>332</v>
      </c>
      <c r="C353" s="4" t="s">
        <v>327</v>
      </c>
      <c r="D353" s="4" t="s">
        <v>259</v>
      </c>
      <c r="E353" s="4" t="s">
        <v>559</v>
      </c>
      <c r="F353" s="3"/>
      <c r="G353" s="6"/>
      <c r="H353" s="53">
        <f t="shared" si="29"/>
        <v>312520</v>
      </c>
      <c r="I353" s="53">
        <f t="shared" si="29"/>
        <v>312520</v>
      </c>
      <c r="J353" s="53">
        <f t="shared" si="29"/>
        <v>312519.8</v>
      </c>
      <c r="K353" s="53">
        <f t="shared" si="29"/>
        <v>312519.8</v>
      </c>
      <c r="L353" s="83"/>
    </row>
    <row r="354" spans="1:12" ht="114.75" customHeight="1">
      <c r="A354" s="47" t="s">
        <v>97</v>
      </c>
      <c r="B354" s="4" t="s">
        <v>332</v>
      </c>
      <c r="C354" s="4" t="s">
        <v>327</v>
      </c>
      <c r="D354" s="4" t="s">
        <v>259</v>
      </c>
      <c r="E354" s="4" t="s">
        <v>559</v>
      </c>
      <c r="F354" s="3"/>
      <c r="G354" s="6" t="s">
        <v>227</v>
      </c>
      <c r="H354" s="53">
        <v>312520</v>
      </c>
      <c r="I354" s="53">
        <v>312520</v>
      </c>
      <c r="J354" s="53">
        <v>312519.8</v>
      </c>
      <c r="K354" s="53">
        <v>312519.8</v>
      </c>
      <c r="L354" s="83"/>
    </row>
    <row r="355" spans="1:12" ht="14.25">
      <c r="A355" s="2" t="s">
        <v>223</v>
      </c>
      <c r="B355" s="4" t="s">
        <v>332</v>
      </c>
      <c r="C355" s="4" t="s">
        <v>327</v>
      </c>
      <c r="D355" s="4" t="s">
        <v>259</v>
      </c>
      <c r="E355" s="4" t="s">
        <v>224</v>
      </c>
      <c r="F355" s="4"/>
      <c r="G355" s="6"/>
      <c r="H355" s="53">
        <f>H356+H358</f>
        <v>100717</v>
      </c>
      <c r="I355" s="53">
        <f>I356+I358</f>
        <v>0</v>
      </c>
      <c r="J355" s="53">
        <f>J356+J358</f>
        <v>100133.9</v>
      </c>
      <c r="K355" s="53">
        <f>K356+K358</f>
        <v>0</v>
      </c>
      <c r="L355" s="83"/>
    </row>
    <row r="356" spans="1:12" ht="42.75">
      <c r="A356" s="2" t="s">
        <v>524</v>
      </c>
      <c r="B356" s="4" t="s">
        <v>332</v>
      </c>
      <c r="C356" s="4" t="s">
        <v>327</v>
      </c>
      <c r="D356" s="4" t="s">
        <v>259</v>
      </c>
      <c r="E356" s="4" t="s">
        <v>379</v>
      </c>
      <c r="F356" s="4"/>
      <c r="G356" s="6"/>
      <c r="H356" s="53">
        <f>H357</f>
        <v>157</v>
      </c>
      <c r="I356" s="53">
        <f>I357</f>
        <v>0</v>
      </c>
      <c r="J356" s="53">
        <f>J357</f>
        <v>157</v>
      </c>
      <c r="K356" s="53">
        <f>K357</f>
        <v>0</v>
      </c>
      <c r="L356" s="83"/>
    </row>
    <row r="357" spans="1:12" ht="28.5">
      <c r="A357" s="2" t="s">
        <v>431</v>
      </c>
      <c r="B357" s="4" t="s">
        <v>332</v>
      </c>
      <c r="C357" s="4" t="s">
        <v>327</v>
      </c>
      <c r="D357" s="4" t="s">
        <v>259</v>
      </c>
      <c r="E357" s="4" t="s">
        <v>379</v>
      </c>
      <c r="F357" s="4"/>
      <c r="G357" s="6" t="s">
        <v>421</v>
      </c>
      <c r="H357" s="53">
        <v>157</v>
      </c>
      <c r="I357" s="53"/>
      <c r="J357" s="53">
        <v>157</v>
      </c>
      <c r="K357" s="53"/>
      <c r="L357" s="83"/>
    </row>
    <row r="358" spans="1:12" ht="111.75" customHeight="1">
      <c r="A358" s="47" t="s">
        <v>98</v>
      </c>
      <c r="B358" s="4" t="s">
        <v>332</v>
      </c>
      <c r="C358" s="4" t="s">
        <v>327</v>
      </c>
      <c r="D358" s="4" t="s">
        <v>259</v>
      </c>
      <c r="E358" s="4" t="s">
        <v>609</v>
      </c>
      <c r="F358" s="4"/>
      <c r="G358" s="6" t="s">
        <v>227</v>
      </c>
      <c r="H358" s="53">
        <f>69927.5+30072.5+560</f>
        <v>100560</v>
      </c>
      <c r="I358" s="53"/>
      <c r="J358" s="53">
        <v>99976.9</v>
      </c>
      <c r="K358" s="53"/>
      <c r="L358" s="83"/>
    </row>
    <row r="359" spans="1:12" ht="18" customHeight="1">
      <c r="A359" s="58" t="s">
        <v>450</v>
      </c>
      <c r="B359" s="3" t="s">
        <v>332</v>
      </c>
      <c r="C359" s="3" t="s">
        <v>262</v>
      </c>
      <c r="D359" s="4"/>
      <c r="E359" s="4"/>
      <c r="F359" s="4"/>
      <c r="G359" s="6"/>
      <c r="H359" s="48">
        <f>H360</f>
        <v>1655</v>
      </c>
      <c r="I359" s="48">
        <f aca="true" t="shared" si="30" ref="I359:K362">I360</f>
        <v>0</v>
      </c>
      <c r="J359" s="48">
        <f t="shared" si="30"/>
        <v>1655</v>
      </c>
      <c r="K359" s="48">
        <f t="shared" si="30"/>
        <v>0</v>
      </c>
      <c r="L359" s="63">
        <f>J359/H359*100</f>
        <v>100</v>
      </c>
    </row>
    <row r="360" spans="1:12" ht="33.75" customHeight="1">
      <c r="A360" s="47" t="s">
        <v>449</v>
      </c>
      <c r="B360" s="3" t="s">
        <v>332</v>
      </c>
      <c r="C360" s="3" t="s">
        <v>262</v>
      </c>
      <c r="D360" s="3" t="s">
        <v>261</v>
      </c>
      <c r="E360" s="4"/>
      <c r="F360" s="4"/>
      <c r="G360" s="6"/>
      <c r="H360" s="53">
        <f>H361</f>
        <v>1655</v>
      </c>
      <c r="I360" s="53">
        <f t="shared" si="30"/>
        <v>0</v>
      </c>
      <c r="J360" s="53">
        <f t="shared" si="30"/>
        <v>1655</v>
      </c>
      <c r="K360" s="53">
        <f t="shared" si="30"/>
        <v>0</v>
      </c>
      <c r="L360" s="83"/>
    </row>
    <row r="361" spans="1:12" ht="51" customHeight="1">
      <c r="A361" s="2" t="s">
        <v>451</v>
      </c>
      <c r="B361" s="4" t="s">
        <v>332</v>
      </c>
      <c r="C361" s="4" t="s">
        <v>262</v>
      </c>
      <c r="D361" s="4" t="s">
        <v>261</v>
      </c>
      <c r="E361" s="4" t="s">
        <v>293</v>
      </c>
      <c r="F361" s="4"/>
      <c r="G361" s="6"/>
      <c r="H361" s="53">
        <f>H362</f>
        <v>1655</v>
      </c>
      <c r="I361" s="53">
        <f t="shared" si="30"/>
        <v>0</v>
      </c>
      <c r="J361" s="53">
        <f t="shared" si="30"/>
        <v>1655</v>
      </c>
      <c r="K361" s="53">
        <f t="shared" si="30"/>
        <v>0</v>
      </c>
      <c r="L361" s="83"/>
    </row>
    <row r="362" spans="1:12" ht="46.5" customHeight="1">
      <c r="A362" s="2" t="s">
        <v>453</v>
      </c>
      <c r="B362" s="4" t="s">
        <v>332</v>
      </c>
      <c r="C362" s="4" t="s">
        <v>262</v>
      </c>
      <c r="D362" s="4" t="s">
        <v>261</v>
      </c>
      <c r="E362" s="4" t="s">
        <v>452</v>
      </c>
      <c r="F362" s="4"/>
      <c r="G362" s="6"/>
      <c r="H362" s="53">
        <f>H363</f>
        <v>1655</v>
      </c>
      <c r="I362" s="53">
        <f t="shared" si="30"/>
        <v>0</v>
      </c>
      <c r="J362" s="53">
        <f t="shared" si="30"/>
        <v>1655</v>
      </c>
      <c r="K362" s="53">
        <f t="shared" si="30"/>
        <v>0</v>
      </c>
      <c r="L362" s="83"/>
    </row>
    <row r="363" spans="1:12" ht="32.25" customHeight="1">
      <c r="A363" s="2" t="s">
        <v>431</v>
      </c>
      <c r="B363" s="4" t="s">
        <v>332</v>
      </c>
      <c r="C363" s="4" t="s">
        <v>262</v>
      </c>
      <c r="D363" s="4" t="s">
        <v>261</v>
      </c>
      <c r="E363" s="4" t="s">
        <v>452</v>
      </c>
      <c r="F363" s="4"/>
      <c r="G363" s="6" t="s">
        <v>421</v>
      </c>
      <c r="H363" s="53">
        <v>1655</v>
      </c>
      <c r="I363" s="53"/>
      <c r="J363" s="53">
        <v>1655</v>
      </c>
      <c r="K363" s="53"/>
      <c r="L363" s="83"/>
    </row>
    <row r="364" spans="1:12" ht="30">
      <c r="A364" s="45" t="s">
        <v>383</v>
      </c>
      <c r="B364" s="3" t="s">
        <v>333</v>
      </c>
      <c r="C364" s="3"/>
      <c r="D364" s="3"/>
      <c r="E364" s="3"/>
      <c r="F364" s="3"/>
      <c r="G364" s="5"/>
      <c r="H364" s="48">
        <f>H365+H500</f>
        <v>1291184.0999999999</v>
      </c>
      <c r="I364" s="48">
        <f>I365+I500</f>
        <v>582337.2999999999</v>
      </c>
      <c r="J364" s="48">
        <f>J365+J500</f>
        <v>1279263.8</v>
      </c>
      <c r="K364" s="48">
        <f>K365+K500</f>
        <v>570887.2999999999</v>
      </c>
      <c r="L364" s="63">
        <f>J364/H364*100</f>
        <v>99.07679315443865</v>
      </c>
    </row>
    <row r="365" spans="1:12" ht="15">
      <c r="A365" s="47" t="s">
        <v>145</v>
      </c>
      <c r="B365" s="3" t="s">
        <v>333</v>
      </c>
      <c r="C365" s="3" t="s">
        <v>267</v>
      </c>
      <c r="D365" s="3"/>
      <c r="E365" s="3"/>
      <c r="F365" s="3"/>
      <c r="G365" s="5"/>
      <c r="H365" s="48">
        <f>H366+H400+H451+H462</f>
        <v>1270066.7</v>
      </c>
      <c r="I365" s="48">
        <f>I366+I400+I451+I462</f>
        <v>561947.2999999999</v>
      </c>
      <c r="J365" s="48">
        <f>J366+J400+J451+J462</f>
        <v>1263963.6</v>
      </c>
      <c r="K365" s="48">
        <f>K366+K400+K451+K462</f>
        <v>556182.7999999999</v>
      </c>
      <c r="L365" s="63">
        <f>J365/H365*100</f>
        <v>99.51946618236666</v>
      </c>
    </row>
    <row r="366" spans="1:12" ht="15">
      <c r="A366" s="47" t="s">
        <v>146</v>
      </c>
      <c r="B366" s="4" t="s">
        <v>333</v>
      </c>
      <c r="C366" s="4" t="s">
        <v>267</v>
      </c>
      <c r="D366" s="4" t="s">
        <v>259</v>
      </c>
      <c r="E366" s="4"/>
      <c r="F366" s="4"/>
      <c r="G366" s="6"/>
      <c r="H366" s="53">
        <f>H371+H387+H393+H382+H377+H367</f>
        <v>561556.5999999999</v>
      </c>
      <c r="I366" s="53">
        <f>I371+I387+I393+I382+I377+I367</f>
        <v>88313.4</v>
      </c>
      <c r="J366" s="53">
        <f>J371+J387+J393+J382+J377+J367</f>
        <v>560536.0999999999</v>
      </c>
      <c r="K366" s="53">
        <f>K371+K387+K393+K382+K377+K367</f>
        <v>87491.09999999999</v>
      </c>
      <c r="L366" s="83"/>
    </row>
    <row r="367" spans="1:12" ht="14.25">
      <c r="A367" s="71" t="s">
        <v>588</v>
      </c>
      <c r="B367" s="4" t="s">
        <v>333</v>
      </c>
      <c r="C367" s="4" t="s">
        <v>267</v>
      </c>
      <c r="D367" s="4" t="s">
        <v>259</v>
      </c>
      <c r="E367" s="73" t="s">
        <v>591</v>
      </c>
      <c r="F367" s="4"/>
      <c r="G367" s="6"/>
      <c r="H367" s="53">
        <f aca="true" t="shared" si="31" ref="H367:K369">H368</f>
        <v>613.2</v>
      </c>
      <c r="I367" s="53">
        <f t="shared" si="31"/>
        <v>613.2</v>
      </c>
      <c r="J367" s="53">
        <f t="shared" si="31"/>
        <v>613.2</v>
      </c>
      <c r="K367" s="53">
        <f t="shared" si="31"/>
        <v>613.2</v>
      </c>
      <c r="L367" s="83"/>
    </row>
    <row r="368" spans="1:12" ht="28.5">
      <c r="A368" s="7" t="s">
        <v>101</v>
      </c>
      <c r="B368" s="4" t="s">
        <v>333</v>
      </c>
      <c r="C368" s="4" t="s">
        <v>267</v>
      </c>
      <c r="D368" s="4" t="s">
        <v>259</v>
      </c>
      <c r="E368" s="73" t="s">
        <v>104</v>
      </c>
      <c r="F368" s="4"/>
      <c r="G368" s="6"/>
      <c r="H368" s="53">
        <f t="shared" si="31"/>
        <v>613.2</v>
      </c>
      <c r="I368" s="53">
        <f t="shared" si="31"/>
        <v>613.2</v>
      </c>
      <c r="J368" s="53">
        <f t="shared" si="31"/>
        <v>613.2</v>
      </c>
      <c r="K368" s="53">
        <f t="shared" si="31"/>
        <v>613.2</v>
      </c>
      <c r="L368" s="83"/>
    </row>
    <row r="369" spans="1:12" ht="28.5">
      <c r="A369" s="7" t="s">
        <v>102</v>
      </c>
      <c r="B369" s="4" t="s">
        <v>333</v>
      </c>
      <c r="C369" s="4" t="s">
        <v>267</v>
      </c>
      <c r="D369" s="4" t="s">
        <v>259</v>
      </c>
      <c r="E369" s="73" t="s">
        <v>105</v>
      </c>
      <c r="F369" s="4"/>
      <c r="G369" s="6"/>
      <c r="H369" s="53">
        <f t="shared" si="31"/>
        <v>613.2</v>
      </c>
      <c r="I369" s="53">
        <f t="shared" si="31"/>
        <v>613.2</v>
      </c>
      <c r="J369" s="53">
        <f t="shared" si="31"/>
        <v>613.2</v>
      </c>
      <c r="K369" s="53">
        <f t="shared" si="31"/>
        <v>613.2</v>
      </c>
      <c r="L369" s="83"/>
    </row>
    <row r="370" spans="1:12" ht="42.75">
      <c r="A370" s="72" t="s">
        <v>103</v>
      </c>
      <c r="B370" s="4" t="s">
        <v>333</v>
      </c>
      <c r="C370" s="4" t="s">
        <v>267</v>
      </c>
      <c r="D370" s="4" t="s">
        <v>259</v>
      </c>
      <c r="E370" s="74" t="s">
        <v>105</v>
      </c>
      <c r="F370" s="4"/>
      <c r="G370" s="6" t="s">
        <v>421</v>
      </c>
      <c r="H370" s="53">
        <v>613.2</v>
      </c>
      <c r="I370" s="53">
        <v>613.2</v>
      </c>
      <c r="J370" s="53">
        <v>613.2</v>
      </c>
      <c r="K370" s="53">
        <v>613.2</v>
      </c>
      <c r="L370" s="83"/>
    </row>
    <row r="371" spans="1:12" ht="14.25">
      <c r="A371" s="2" t="s">
        <v>147</v>
      </c>
      <c r="B371" s="4" t="s">
        <v>333</v>
      </c>
      <c r="C371" s="4" t="s">
        <v>267</v>
      </c>
      <c r="D371" s="4" t="s">
        <v>259</v>
      </c>
      <c r="E371" s="4" t="s">
        <v>156</v>
      </c>
      <c r="F371" s="4"/>
      <c r="G371" s="6"/>
      <c r="H371" s="53">
        <f>H372+H374</f>
        <v>432109.5</v>
      </c>
      <c r="I371" s="53">
        <f>I372+I374</f>
        <v>41171</v>
      </c>
      <c r="J371" s="53">
        <f>J372+J374</f>
        <v>432109.5</v>
      </c>
      <c r="K371" s="53">
        <f>K372+K374</f>
        <v>41171</v>
      </c>
      <c r="L371" s="83"/>
    </row>
    <row r="372" spans="1:12" ht="42.75">
      <c r="A372" s="2" t="s">
        <v>448</v>
      </c>
      <c r="B372" s="4" t="s">
        <v>333</v>
      </c>
      <c r="C372" s="4" t="s">
        <v>267</v>
      </c>
      <c r="D372" s="4" t="s">
        <v>259</v>
      </c>
      <c r="E372" s="4" t="s">
        <v>548</v>
      </c>
      <c r="F372" s="4"/>
      <c r="G372" s="6"/>
      <c r="H372" s="53">
        <f>H373</f>
        <v>41171</v>
      </c>
      <c r="I372" s="53">
        <f>I373</f>
        <v>41171</v>
      </c>
      <c r="J372" s="53">
        <f>J373</f>
        <v>41171</v>
      </c>
      <c r="K372" s="53">
        <f>K373</f>
        <v>41171</v>
      </c>
      <c r="L372" s="83"/>
    </row>
    <row r="373" spans="1:12" ht="28.5">
      <c r="A373" s="2" t="s">
        <v>396</v>
      </c>
      <c r="B373" s="4" t="s">
        <v>333</v>
      </c>
      <c r="C373" s="4" t="s">
        <v>267</v>
      </c>
      <c r="D373" s="4" t="s">
        <v>259</v>
      </c>
      <c r="E373" s="4" t="s">
        <v>548</v>
      </c>
      <c r="F373" s="4"/>
      <c r="G373" s="6" t="s">
        <v>395</v>
      </c>
      <c r="H373" s="53">
        <f>4864+17429-1418+12650+7646</f>
        <v>41171</v>
      </c>
      <c r="I373" s="53">
        <f>4864+17429-1418+12650+7646</f>
        <v>41171</v>
      </c>
      <c r="J373" s="53">
        <v>41171</v>
      </c>
      <c r="K373" s="53">
        <v>41171</v>
      </c>
      <c r="L373" s="83"/>
    </row>
    <row r="374" spans="1:12" ht="14.25">
      <c r="A374" s="2" t="s">
        <v>157</v>
      </c>
      <c r="B374" s="4" t="s">
        <v>333</v>
      </c>
      <c r="C374" s="4" t="s">
        <v>267</v>
      </c>
      <c r="D374" s="4" t="s">
        <v>259</v>
      </c>
      <c r="E374" s="4" t="s">
        <v>273</v>
      </c>
      <c r="F374" s="4"/>
      <c r="G374" s="6"/>
      <c r="H374" s="53">
        <f>H375+H376</f>
        <v>390938.5</v>
      </c>
      <c r="I374" s="53">
        <f>I375+I376</f>
        <v>0</v>
      </c>
      <c r="J374" s="53">
        <f>J375+J376</f>
        <v>390938.5</v>
      </c>
      <c r="K374" s="53">
        <f>K375+K376</f>
        <v>0</v>
      </c>
      <c r="L374" s="83"/>
    </row>
    <row r="375" spans="1:12" s="49" customFormat="1" ht="43.5">
      <c r="A375" s="2" t="s">
        <v>429</v>
      </c>
      <c r="B375" s="4" t="s">
        <v>333</v>
      </c>
      <c r="C375" s="4" t="s">
        <v>267</v>
      </c>
      <c r="D375" s="4" t="s">
        <v>259</v>
      </c>
      <c r="E375" s="4" t="s">
        <v>273</v>
      </c>
      <c r="F375" s="4"/>
      <c r="G375" s="6" t="s">
        <v>402</v>
      </c>
      <c r="H375" s="53">
        <f>174011-9226.4+2390+153.6</f>
        <v>167328.2</v>
      </c>
      <c r="I375" s="53"/>
      <c r="J375" s="53">
        <f>174011-9226.4+2390+153.6</f>
        <v>167328.2</v>
      </c>
      <c r="K375" s="53"/>
      <c r="L375" s="63"/>
    </row>
    <row r="376" spans="1:12" s="49" customFormat="1" ht="43.5">
      <c r="A376" s="7" t="s">
        <v>434</v>
      </c>
      <c r="B376" s="4" t="s">
        <v>333</v>
      </c>
      <c r="C376" s="4" t="s">
        <v>267</v>
      </c>
      <c r="D376" s="4" t="s">
        <v>259</v>
      </c>
      <c r="E376" s="4" t="s">
        <v>273</v>
      </c>
      <c r="F376" s="4"/>
      <c r="G376" s="6" t="s">
        <v>433</v>
      </c>
      <c r="H376" s="53">
        <v>223610.3</v>
      </c>
      <c r="I376" s="53"/>
      <c r="J376" s="53">
        <v>223610.3</v>
      </c>
      <c r="K376" s="48"/>
      <c r="L376" s="63"/>
    </row>
    <row r="377" spans="1:12" s="49" customFormat="1" ht="15">
      <c r="A377" s="2" t="s">
        <v>220</v>
      </c>
      <c r="B377" s="4" t="s">
        <v>333</v>
      </c>
      <c r="C377" s="4" t="s">
        <v>267</v>
      </c>
      <c r="D377" s="4" t="s">
        <v>259</v>
      </c>
      <c r="E377" s="4" t="s">
        <v>200</v>
      </c>
      <c r="F377" s="4"/>
      <c r="G377" s="6"/>
      <c r="H377" s="53">
        <f aca="true" t="shared" si="32" ref="H377:K378">H378</f>
        <v>2200</v>
      </c>
      <c r="I377" s="53">
        <f t="shared" si="32"/>
        <v>2200</v>
      </c>
      <c r="J377" s="53">
        <f t="shared" si="32"/>
        <v>2200</v>
      </c>
      <c r="K377" s="53">
        <f t="shared" si="32"/>
        <v>2200</v>
      </c>
      <c r="L377" s="63"/>
    </row>
    <row r="378" spans="1:12" s="49" customFormat="1" ht="87" customHeight="1">
      <c r="A378" s="2" t="s">
        <v>59</v>
      </c>
      <c r="B378" s="4" t="s">
        <v>333</v>
      </c>
      <c r="C378" s="4" t="s">
        <v>267</v>
      </c>
      <c r="D378" s="4" t="s">
        <v>259</v>
      </c>
      <c r="E378" s="4" t="s">
        <v>58</v>
      </c>
      <c r="F378" s="4"/>
      <c r="G378" s="6"/>
      <c r="H378" s="53">
        <f t="shared" si="32"/>
        <v>2200</v>
      </c>
      <c r="I378" s="53">
        <f t="shared" si="32"/>
        <v>2200</v>
      </c>
      <c r="J378" s="53">
        <f t="shared" si="32"/>
        <v>2200</v>
      </c>
      <c r="K378" s="53">
        <f t="shared" si="32"/>
        <v>2200</v>
      </c>
      <c r="L378" s="63"/>
    </row>
    <row r="379" spans="1:12" s="49" customFormat="1" ht="39" customHeight="1">
      <c r="A379" s="2" t="s">
        <v>57</v>
      </c>
      <c r="B379" s="4" t="s">
        <v>333</v>
      </c>
      <c r="C379" s="4" t="s">
        <v>267</v>
      </c>
      <c r="D379" s="4" t="s">
        <v>259</v>
      </c>
      <c r="E379" s="4" t="s">
        <v>56</v>
      </c>
      <c r="F379" s="4"/>
      <c r="G379" s="6"/>
      <c r="H379" s="53">
        <f>H380+H381</f>
        <v>2200</v>
      </c>
      <c r="I379" s="53">
        <f>I380+I381</f>
        <v>2200</v>
      </c>
      <c r="J379" s="53">
        <f>J380+J381</f>
        <v>2200</v>
      </c>
      <c r="K379" s="53">
        <f>K380+K381</f>
        <v>2200</v>
      </c>
      <c r="L379" s="63"/>
    </row>
    <row r="380" spans="1:12" s="49" customFormat="1" ht="15">
      <c r="A380" s="7" t="s">
        <v>399</v>
      </c>
      <c r="B380" s="4" t="s">
        <v>333</v>
      </c>
      <c r="C380" s="4" t="s">
        <v>267</v>
      </c>
      <c r="D380" s="4" t="s">
        <v>259</v>
      </c>
      <c r="E380" s="4" t="s">
        <v>56</v>
      </c>
      <c r="F380" s="4"/>
      <c r="G380" s="6" t="s">
        <v>398</v>
      </c>
      <c r="H380" s="53">
        <f>1250-100</f>
        <v>1150</v>
      </c>
      <c r="I380" s="53">
        <f>1250-100</f>
        <v>1150</v>
      </c>
      <c r="J380" s="53">
        <v>1150</v>
      </c>
      <c r="K380" s="53">
        <v>1150</v>
      </c>
      <c r="L380" s="63"/>
    </row>
    <row r="381" spans="1:12" s="49" customFormat="1" ht="15">
      <c r="A381" s="7" t="s">
        <v>428</v>
      </c>
      <c r="B381" s="4" t="s">
        <v>333</v>
      </c>
      <c r="C381" s="4" t="s">
        <v>267</v>
      </c>
      <c r="D381" s="4" t="s">
        <v>259</v>
      </c>
      <c r="E381" s="4" t="s">
        <v>56</v>
      </c>
      <c r="F381" s="4"/>
      <c r="G381" s="6" t="s">
        <v>427</v>
      </c>
      <c r="H381" s="53">
        <f>950+100</f>
        <v>1050</v>
      </c>
      <c r="I381" s="53">
        <f>950+100</f>
        <v>1050</v>
      </c>
      <c r="J381" s="53">
        <v>1050</v>
      </c>
      <c r="K381" s="53">
        <v>1050</v>
      </c>
      <c r="L381" s="63"/>
    </row>
    <row r="382" spans="1:12" s="49" customFormat="1" ht="15">
      <c r="A382" s="7" t="s">
        <v>530</v>
      </c>
      <c r="B382" s="4" t="s">
        <v>333</v>
      </c>
      <c r="C382" s="4" t="s">
        <v>267</v>
      </c>
      <c r="D382" s="4" t="s">
        <v>259</v>
      </c>
      <c r="E382" s="4" t="s">
        <v>528</v>
      </c>
      <c r="F382" s="4"/>
      <c r="G382" s="6"/>
      <c r="H382" s="53">
        <f>H383</f>
        <v>12090.2</v>
      </c>
      <c r="I382" s="53">
        <f aca="true" t="shared" si="33" ref="I382:K383">I383</f>
        <v>12090.2</v>
      </c>
      <c r="J382" s="53">
        <f t="shared" si="33"/>
        <v>12090.2</v>
      </c>
      <c r="K382" s="53">
        <f t="shared" si="33"/>
        <v>12090.2</v>
      </c>
      <c r="L382" s="63"/>
    </row>
    <row r="383" spans="1:12" s="49" customFormat="1" ht="43.5">
      <c r="A383" s="7" t="s">
        <v>118</v>
      </c>
      <c r="B383" s="4" t="s">
        <v>333</v>
      </c>
      <c r="C383" s="4" t="s">
        <v>267</v>
      </c>
      <c r="D383" s="4" t="s">
        <v>259</v>
      </c>
      <c r="E383" s="4" t="s">
        <v>115</v>
      </c>
      <c r="F383" s="4"/>
      <c r="G383" s="6"/>
      <c r="H383" s="53">
        <f>H384</f>
        <v>12090.2</v>
      </c>
      <c r="I383" s="53">
        <f t="shared" si="33"/>
        <v>12090.2</v>
      </c>
      <c r="J383" s="53">
        <f t="shared" si="33"/>
        <v>12090.2</v>
      </c>
      <c r="K383" s="53">
        <f t="shared" si="33"/>
        <v>12090.2</v>
      </c>
      <c r="L383" s="63"/>
    </row>
    <row r="384" spans="1:12" s="49" customFormat="1" ht="57.75">
      <c r="A384" s="7" t="s">
        <v>117</v>
      </c>
      <c r="B384" s="4" t="s">
        <v>333</v>
      </c>
      <c r="C384" s="4" t="s">
        <v>267</v>
      </c>
      <c r="D384" s="4" t="s">
        <v>259</v>
      </c>
      <c r="E384" s="4" t="s">
        <v>116</v>
      </c>
      <c r="F384" s="4"/>
      <c r="G384" s="6"/>
      <c r="H384" s="53">
        <f>H385+H386</f>
        <v>12090.2</v>
      </c>
      <c r="I384" s="53">
        <f>I385+I386</f>
        <v>12090.2</v>
      </c>
      <c r="J384" s="53">
        <f>J385+J386</f>
        <v>12090.2</v>
      </c>
      <c r="K384" s="53">
        <f>K385+K386</f>
        <v>12090.2</v>
      </c>
      <c r="L384" s="63"/>
    </row>
    <row r="385" spans="1:12" s="49" customFormat="1" ht="43.5">
      <c r="A385" s="2" t="s">
        <v>429</v>
      </c>
      <c r="B385" s="4" t="s">
        <v>333</v>
      </c>
      <c r="C385" s="4" t="s">
        <v>267</v>
      </c>
      <c r="D385" s="4" t="s">
        <v>259</v>
      </c>
      <c r="E385" s="4" t="s">
        <v>116</v>
      </c>
      <c r="F385" s="4"/>
      <c r="G385" s="6" t="s">
        <v>402</v>
      </c>
      <c r="H385" s="53">
        <f>5332.2-694</f>
        <v>4638.2</v>
      </c>
      <c r="I385" s="53">
        <f>5332.2-694</f>
        <v>4638.2</v>
      </c>
      <c r="J385" s="53">
        <v>4638.2</v>
      </c>
      <c r="K385" s="53">
        <v>4638.2</v>
      </c>
      <c r="L385" s="63"/>
    </row>
    <row r="386" spans="1:12" s="49" customFormat="1" ht="43.5">
      <c r="A386" s="7" t="s">
        <v>434</v>
      </c>
      <c r="B386" s="4" t="s">
        <v>333</v>
      </c>
      <c r="C386" s="4" t="s">
        <v>267</v>
      </c>
      <c r="D386" s="4" t="s">
        <v>259</v>
      </c>
      <c r="E386" s="4" t="s">
        <v>116</v>
      </c>
      <c r="F386" s="4"/>
      <c r="G386" s="6" t="s">
        <v>433</v>
      </c>
      <c r="H386" s="53">
        <f>6758+694</f>
        <v>7452</v>
      </c>
      <c r="I386" s="53">
        <f>6758+694</f>
        <v>7452</v>
      </c>
      <c r="J386" s="53">
        <v>7452</v>
      </c>
      <c r="K386" s="53">
        <v>7452</v>
      </c>
      <c r="L386" s="63"/>
    </row>
    <row r="387" spans="1:12" ht="45" customHeight="1">
      <c r="A387" s="2" t="s">
        <v>516</v>
      </c>
      <c r="B387" s="4" t="s">
        <v>333</v>
      </c>
      <c r="C387" s="4" t="s">
        <v>267</v>
      </c>
      <c r="D387" s="4" t="s">
        <v>259</v>
      </c>
      <c r="E387" s="4" t="s">
        <v>513</v>
      </c>
      <c r="F387" s="4"/>
      <c r="G387" s="6"/>
      <c r="H387" s="53">
        <f>H388+H391</f>
        <v>32239</v>
      </c>
      <c r="I387" s="53">
        <f>I388+I391</f>
        <v>32239</v>
      </c>
      <c r="J387" s="53">
        <f>J388+J391</f>
        <v>31416.7</v>
      </c>
      <c r="K387" s="53">
        <f>K388+K391</f>
        <v>31416.7</v>
      </c>
      <c r="L387" s="83"/>
    </row>
    <row r="388" spans="1:12" ht="28.5">
      <c r="A388" s="2" t="s">
        <v>519</v>
      </c>
      <c r="B388" s="4" t="s">
        <v>333</v>
      </c>
      <c r="C388" s="4" t="s">
        <v>267</v>
      </c>
      <c r="D388" s="4" t="s">
        <v>259</v>
      </c>
      <c r="E388" s="4" t="s">
        <v>518</v>
      </c>
      <c r="F388" s="4"/>
      <c r="G388" s="6"/>
      <c r="H388" s="53">
        <f>H389+H390</f>
        <v>24972</v>
      </c>
      <c r="I388" s="53">
        <f>I389+I390</f>
        <v>24972</v>
      </c>
      <c r="J388" s="53">
        <f>J389+J390</f>
        <v>24972</v>
      </c>
      <c r="K388" s="53">
        <f>K389+K390</f>
        <v>24972</v>
      </c>
      <c r="L388" s="83"/>
    </row>
    <row r="389" spans="1:12" ht="14.25">
      <c r="A389" s="7" t="s">
        <v>399</v>
      </c>
      <c r="B389" s="4" t="s">
        <v>333</v>
      </c>
      <c r="C389" s="4" t="s">
        <v>267</v>
      </c>
      <c r="D389" s="4" t="s">
        <v>259</v>
      </c>
      <c r="E389" s="4" t="s">
        <v>518</v>
      </c>
      <c r="F389" s="4"/>
      <c r="G389" s="6" t="s">
        <v>398</v>
      </c>
      <c r="H389" s="53">
        <f>16224-1656</f>
        <v>14568</v>
      </c>
      <c r="I389" s="53">
        <f>16224-1656</f>
        <v>14568</v>
      </c>
      <c r="J389" s="53">
        <v>14568</v>
      </c>
      <c r="K389" s="53">
        <v>14568</v>
      </c>
      <c r="L389" s="83"/>
    </row>
    <row r="390" spans="1:12" ht="14.25">
      <c r="A390" s="7" t="s">
        <v>428</v>
      </c>
      <c r="B390" s="4" t="s">
        <v>333</v>
      </c>
      <c r="C390" s="4" t="s">
        <v>267</v>
      </c>
      <c r="D390" s="4" t="s">
        <v>259</v>
      </c>
      <c r="E390" s="4" t="s">
        <v>518</v>
      </c>
      <c r="F390" s="4"/>
      <c r="G390" s="6" t="s">
        <v>427</v>
      </c>
      <c r="H390" s="53">
        <f>8748+1656</f>
        <v>10404</v>
      </c>
      <c r="I390" s="53">
        <f>8748+1656</f>
        <v>10404</v>
      </c>
      <c r="J390" s="53">
        <v>10404</v>
      </c>
      <c r="K390" s="53">
        <v>10404</v>
      </c>
      <c r="L390" s="83"/>
    </row>
    <row r="391" spans="1:12" ht="114">
      <c r="A391" s="7" t="s">
        <v>39</v>
      </c>
      <c r="B391" s="4" t="s">
        <v>333</v>
      </c>
      <c r="C391" s="4" t="s">
        <v>267</v>
      </c>
      <c r="D391" s="4" t="s">
        <v>259</v>
      </c>
      <c r="E391" s="4" t="s">
        <v>523</v>
      </c>
      <c r="F391" s="4"/>
      <c r="G391" s="6"/>
      <c r="H391" s="53">
        <f>H392</f>
        <v>7267</v>
      </c>
      <c r="I391" s="53">
        <f>I392</f>
        <v>7267</v>
      </c>
      <c r="J391" s="53">
        <f>J392</f>
        <v>6444.7</v>
      </c>
      <c r="K391" s="53">
        <f>K392</f>
        <v>6444.7</v>
      </c>
      <c r="L391" s="83"/>
    </row>
    <row r="392" spans="1:12" ht="28.5">
      <c r="A392" s="2" t="s">
        <v>396</v>
      </c>
      <c r="B392" s="4" t="s">
        <v>333</v>
      </c>
      <c r="C392" s="4" t="s">
        <v>267</v>
      </c>
      <c r="D392" s="4" t="s">
        <v>259</v>
      </c>
      <c r="E392" s="4" t="s">
        <v>523</v>
      </c>
      <c r="F392" s="4"/>
      <c r="G392" s="6" t="s">
        <v>395</v>
      </c>
      <c r="H392" s="53">
        <v>7267</v>
      </c>
      <c r="I392" s="53">
        <v>7267</v>
      </c>
      <c r="J392" s="53">
        <v>6444.7</v>
      </c>
      <c r="K392" s="53">
        <v>6444.7</v>
      </c>
      <c r="L392" s="83"/>
    </row>
    <row r="393" spans="1:12" ht="14.25">
      <c r="A393" s="2" t="s">
        <v>223</v>
      </c>
      <c r="B393" s="4" t="s">
        <v>333</v>
      </c>
      <c r="C393" s="4" t="s">
        <v>267</v>
      </c>
      <c r="D393" s="4" t="s">
        <v>259</v>
      </c>
      <c r="E393" s="4" t="s">
        <v>224</v>
      </c>
      <c r="F393" s="4"/>
      <c r="G393" s="6"/>
      <c r="H393" s="53">
        <f>H394</f>
        <v>82304.70000000001</v>
      </c>
      <c r="I393" s="53">
        <f>I394</f>
        <v>0</v>
      </c>
      <c r="J393" s="53">
        <f>J394</f>
        <v>82106.5</v>
      </c>
      <c r="K393" s="53">
        <f>K394</f>
        <v>0</v>
      </c>
      <c r="L393" s="83"/>
    </row>
    <row r="394" spans="1:12" ht="28.5">
      <c r="A394" s="2" t="s">
        <v>380</v>
      </c>
      <c r="B394" s="4" t="s">
        <v>333</v>
      </c>
      <c r="C394" s="4" t="s">
        <v>267</v>
      </c>
      <c r="D394" s="4" t="s">
        <v>259</v>
      </c>
      <c r="E394" s="4" t="s">
        <v>377</v>
      </c>
      <c r="F394" s="4"/>
      <c r="G394" s="6"/>
      <c r="H394" s="53">
        <f>H395+H396+H397+H398+H399</f>
        <v>82304.70000000001</v>
      </c>
      <c r="I394" s="53">
        <f>I395+I396+I397+I398+I399</f>
        <v>0</v>
      </c>
      <c r="J394" s="53">
        <f>J395+J396+J397+J398+J399</f>
        <v>82106.5</v>
      </c>
      <c r="K394" s="53">
        <f>K395+K396+K397+K398+K399</f>
        <v>0</v>
      </c>
      <c r="L394" s="83"/>
    </row>
    <row r="395" spans="1:12" ht="37.5" customHeight="1">
      <c r="A395" s="2" t="s">
        <v>431</v>
      </c>
      <c r="B395" s="4" t="s">
        <v>333</v>
      </c>
      <c r="C395" s="4" t="s">
        <v>267</v>
      </c>
      <c r="D395" s="4" t="s">
        <v>259</v>
      </c>
      <c r="E395" s="4" t="s">
        <v>377</v>
      </c>
      <c r="F395" s="4"/>
      <c r="G395" s="6" t="s">
        <v>421</v>
      </c>
      <c r="H395" s="53"/>
      <c r="I395" s="53"/>
      <c r="J395" s="53"/>
      <c r="K395" s="53"/>
      <c r="L395" s="83"/>
    </row>
    <row r="396" spans="1:12" ht="69.75" customHeight="1">
      <c r="A396" s="47" t="s">
        <v>100</v>
      </c>
      <c r="B396" s="4" t="s">
        <v>333</v>
      </c>
      <c r="C396" s="4" t="s">
        <v>267</v>
      </c>
      <c r="D396" s="4" t="s">
        <v>259</v>
      </c>
      <c r="E396" s="4" t="s">
        <v>607</v>
      </c>
      <c r="F396" s="4"/>
      <c r="G396" s="6" t="s">
        <v>227</v>
      </c>
      <c r="H396" s="53">
        <v>1636.3</v>
      </c>
      <c r="I396" s="53"/>
      <c r="J396" s="53">
        <v>1636.2</v>
      </c>
      <c r="K396" s="53"/>
      <c r="L396" s="83"/>
    </row>
    <row r="397" spans="1:12" ht="18.75" customHeight="1">
      <c r="A397" s="7" t="s">
        <v>399</v>
      </c>
      <c r="B397" s="4" t="s">
        <v>333</v>
      </c>
      <c r="C397" s="4" t="s">
        <v>267</v>
      </c>
      <c r="D397" s="4" t="s">
        <v>259</v>
      </c>
      <c r="E397" s="4" t="s">
        <v>377</v>
      </c>
      <c r="F397" s="4"/>
      <c r="G397" s="6" t="s">
        <v>398</v>
      </c>
      <c r="H397" s="53">
        <v>6819.7</v>
      </c>
      <c r="I397" s="53"/>
      <c r="J397" s="53">
        <v>6660.7</v>
      </c>
      <c r="K397" s="53"/>
      <c r="L397" s="83"/>
    </row>
    <row r="398" spans="1:12" ht="21.75" customHeight="1">
      <c r="A398" s="7" t="s">
        <v>428</v>
      </c>
      <c r="B398" s="4" t="s">
        <v>333</v>
      </c>
      <c r="C398" s="4" t="s">
        <v>267</v>
      </c>
      <c r="D398" s="4" t="s">
        <v>259</v>
      </c>
      <c r="E398" s="4" t="s">
        <v>377</v>
      </c>
      <c r="F398" s="4"/>
      <c r="G398" s="6" t="s">
        <v>427</v>
      </c>
      <c r="H398" s="53">
        <v>73351.1</v>
      </c>
      <c r="I398" s="53"/>
      <c r="J398" s="53">
        <v>73312</v>
      </c>
      <c r="K398" s="53"/>
      <c r="L398" s="83"/>
    </row>
    <row r="399" spans="1:12" ht="28.5">
      <c r="A399" s="2" t="s">
        <v>396</v>
      </c>
      <c r="B399" s="4" t="s">
        <v>333</v>
      </c>
      <c r="C399" s="4" t="s">
        <v>267</v>
      </c>
      <c r="D399" s="4" t="s">
        <v>259</v>
      </c>
      <c r="E399" s="4" t="s">
        <v>377</v>
      </c>
      <c r="F399" s="4"/>
      <c r="G399" s="6" t="s">
        <v>395</v>
      </c>
      <c r="H399" s="53">
        <v>497.6</v>
      </c>
      <c r="I399" s="53"/>
      <c r="J399" s="53">
        <v>497.6</v>
      </c>
      <c r="K399" s="53"/>
      <c r="L399" s="83"/>
    </row>
    <row r="400" spans="1:12" ht="15">
      <c r="A400" s="47" t="s">
        <v>148</v>
      </c>
      <c r="B400" s="3" t="s">
        <v>333</v>
      </c>
      <c r="C400" s="3" t="s">
        <v>267</v>
      </c>
      <c r="D400" s="3" t="s">
        <v>260</v>
      </c>
      <c r="E400" s="3"/>
      <c r="F400" s="3"/>
      <c r="G400" s="6"/>
      <c r="H400" s="48">
        <f>H401+H416+H434+H447+H422+H430+H419</f>
        <v>615882.4</v>
      </c>
      <c r="I400" s="48">
        <f>I401+I416+I434+I447+I422+I430+I419</f>
        <v>450758.7</v>
      </c>
      <c r="J400" s="48">
        <f>J401+J416+J434+J447+J422+J430+J419</f>
        <v>615478.5000000001</v>
      </c>
      <c r="K400" s="48">
        <f>K401+K416+K434+K447+K422+K430+K419</f>
        <v>450442.5</v>
      </c>
      <c r="L400" s="63">
        <f>J400/H400*100</f>
        <v>99.93441929822968</v>
      </c>
    </row>
    <row r="401" spans="1:12" ht="28.5">
      <c r="A401" s="2" t="s">
        <v>321</v>
      </c>
      <c r="B401" s="4" t="s">
        <v>333</v>
      </c>
      <c r="C401" s="4" t="s">
        <v>267</v>
      </c>
      <c r="D401" s="4" t="s">
        <v>260</v>
      </c>
      <c r="E401" s="4" t="s">
        <v>158</v>
      </c>
      <c r="F401" s="4"/>
      <c r="G401" s="6"/>
      <c r="H401" s="53">
        <f>H402+H408+H411</f>
        <v>468236.60000000003</v>
      </c>
      <c r="I401" s="53">
        <f>I402+I408+I411</f>
        <v>403214.4</v>
      </c>
      <c r="J401" s="53">
        <f>J402+J408+J411</f>
        <v>467935.60000000003</v>
      </c>
      <c r="K401" s="53">
        <f>K402+K408+K411</f>
        <v>402913.4</v>
      </c>
      <c r="L401" s="83"/>
    </row>
    <row r="402" spans="1:12" ht="309" customHeight="1">
      <c r="A402" s="70" t="s">
        <v>583</v>
      </c>
      <c r="B402" s="4" t="s">
        <v>333</v>
      </c>
      <c r="C402" s="4" t="s">
        <v>267</v>
      </c>
      <c r="D402" s="4" t="s">
        <v>260</v>
      </c>
      <c r="E402" s="4" t="s">
        <v>549</v>
      </c>
      <c r="F402" s="4"/>
      <c r="G402" s="6"/>
      <c r="H402" s="53">
        <f>H403+H404+H405+H406+H407</f>
        <v>382657</v>
      </c>
      <c r="I402" s="53">
        <f>I403+I404+I405+I406+I407</f>
        <v>382657</v>
      </c>
      <c r="J402" s="53">
        <f>J403+J404+J405+J406+J407</f>
        <v>382356</v>
      </c>
      <c r="K402" s="53">
        <f>K403+K404+K405+K406+K407</f>
        <v>382356</v>
      </c>
      <c r="L402" s="83"/>
    </row>
    <row r="403" spans="1:12" ht="33" customHeight="1">
      <c r="A403" s="2" t="s">
        <v>431</v>
      </c>
      <c r="B403" s="4" t="s">
        <v>333</v>
      </c>
      <c r="C403" s="4" t="s">
        <v>267</v>
      </c>
      <c r="D403" s="4" t="s">
        <v>260</v>
      </c>
      <c r="E403" s="4" t="s">
        <v>549</v>
      </c>
      <c r="F403" s="4"/>
      <c r="G403" s="6" t="s">
        <v>421</v>
      </c>
      <c r="H403" s="53">
        <f>13584-312-573.1</f>
        <v>12698.9</v>
      </c>
      <c r="I403" s="53">
        <f>13584-312-573.1</f>
        <v>12698.9</v>
      </c>
      <c r="J403" s="53">
        <f>13584-312-573.1</f>
        <v>12698.9</v>
      </c>
      <c r="K403" s="53">
        <f>13584-312-573.1</f>
        <v>12698.9</v>
      </c>
      <c r="L403" s="83"/>
    </row>
    <row r="404" spans="1:12" ht="42.75">
      <c r="A404" s="2" t="s">
        <v>429</v>
      </c>
      <c r="B404" s="4" t="s">
        <v>333</v>
      </c>
      <c r="C404" s="4" t="s">
        <v>267</v>
      </c>
      <c r="D404" s="4" t="s">
        <v>260</v>
      </c>
      <c r="E404" s="4" t="s">
        <v>549</v>
      </c>
      <c r="F404" s="4"/>
      <c r="G404" s="6" t="s">
        <v>402</v>
      </c>
      <c r="H404" s="53">
        <f>62526.4+228.6+2775+406.7</f>
        <v>65936.7</v>
      </c>
      <c r="I404" s="53">
        <f>62526.4+228.6+2775+406.7</f>
        <v>65936.7</v>
      </c>
      <c r="J404" s="53">
        <f>62526.4+228.6+2775+406.7</f>
        <v>65936.7</v>
      </c>
      <c r="K404" s="53">
        <f>62526.4+228.6+2775+406.7</f>
        <v>65936.7</v>
      </c>
      <c r="L404" s="83"/>
    </row>
    <row r="405" spans="1:12" ht="14.25">
      <c r="A405" s="7" t="s">
        <v>399</v>
      </c>
      <c r="B405" s="4" t="s">
        <v>333</v>
      </c>
      <c r="C405" s="4" t="s">
        <v>267</v>
      </c>
      <c r="D405" s="4" t="s">
        <v>260</v>
      </c>
      <c r="E405" s="4" t="s">
        <v>549</v>
      </c>
      <c r="F405" s="4"/>
      <c r="G405" s="6" t="s">
        <v>398</v>
      </c>
      <c r="H405" s="53">
        <f>137.4-3</f>
        <v>134.4</v>
      </c>
      <c r="I405" s="53">
        <f>137.4-3</f>
        <v>134.4</v>
      </c>
      <c r="J405" s="53">
        <v>134.4</v>
      </c>
      <c r="K405" s="53">
        <v>134.4</v>
      </c>
      <c r="L405" s="83"/>
    </row>
    <row r="406" spans="1:12" ht="42.75">
      <c r="A406" s="7" t="s">
        <v>434</v>
      </c>
      <c r="B406" s="4" t="s">
        <v>333</v>
      </c>
      <c r="C406" s="4" t="s">
        <v>267</v>
      </c>
      <c r="D406" s="4" t="s">
        <v>260</v>
      </c>
      <c r="E406" s="4" t="s">
        <v>549</v>
      </c>
      <c r="F406" s="4"/>
      <c r="G406" s="6" t="s">
        <v>433</v>
      </c>
      <c r="H406" s="53">
        <v>303448.3</v>
      </c>
      <c r="I406" s="53">
        <v>303448.3</v>
      </c>
      <c r="J406" s="53">
        <v>303147.3</v>
      </c>
      <c r="K406" s="53">
        <v>303147.3</v>
      </c>
      <c r="L406" s="83"/>
    </row>
    <row r="407" spans="1:12" ht="14.25">
      <c r="A407" s="7" t="s">
        <v>428</v>
      </c>
      <c r="B407" s="4" t="s">
        <v>333</v>
      </c>
      <c r="C407" s="4" t="s">
        <v>267</v>
      </c>
      <c r="D407" s="4" t="s">
        <v>260</v>
      </c>
      <c r="E407" s="4" t="s">
        <v>549</v>
      </c>
      <c r="F407" s="4"/>
      <c r="G407" s="6" t="s">
        <v>427</v>
      </c>
      <c r="H407" s="53">
        <f>435.7+3</f>
        <v>438.7</v>
      </c>
      <c r="I407" s="53">
        <f>435.7+3</f>
        <v>438.7</v>
      </c>
      <c r="J407" s="53">
        <v>438.7</v>
      </c>
      <c r="K407" s="53">
        <v>438.7</v>
      </c>
      <c r="L407" s="83"/>
    </row>
    <row r="408" spans="1:12" ht="45">
      <c r="A408" s="70" t="s">
        <v>584</v>
      </c>
      <c r="B408" s="4" t="s">
        <v>333</v>
      </c>
      <c r="C408" s="4" t="s">
        <v>267</v>
      </c>
      <c r="D408" s="4" t="s">
        <v>260</v>
      </c>
      <c r="E408" s="4" t="s">
        <v>550</v>
      </c>
      <c r="F408" s="4"/>
      <c r="G408" s="6"/>
      <c r="H408" s="53">
        <f>H409+H410</f>
        <v>20557.399999999998</v>
      </c>
      <c r="I408" s="53">
        <f>I409+I410</f>
        <v>20557.399999999998</v>
      </c>
      <c r="J408" s="53">
        <f>J409+J410</f>
        <v>20557.399999999998</v>
      </c>
      <c r="K408" s="53">
        <f>K409+K410</f>
        <v>20557.399999999998</v>
      </c>
      <c r="L408" s="83"/>
    </row>
    <row r="409" spans="1:12" ht="42.75">
      <c r="A409" s="2" t="s">
        <v>429</v>
      </c>
      <c r="B409" s="4" t="s">
        <v>333</v>
      </c>
      <c r="C409" s="4" t="s">
        <v>267</v>
      </c>
      <c r="D409" s="4" t="s">
        <v>260</v>
      </c>
      <c r="E409" s="4" t="s">
        <v>550</v>
      </c>
      <c r="F409" s="4"/>
      <c r="G409" s="6" t="s">
        <v>402</v>
      </c>
      <c r="H409" s="53">
        <v>3182.6</v>
      </c>
      <c r="I409" s="53">
        <v>3182.6</v>
      </c>
      <c r="J409" s="53">
        <v>3182.6</v>
      </c>
      <c r="K409" s="53">
        <v>3182.6</v>
      </c>
      <c r="L409" s="83"/>
    </row>
    <row r="410" spans="1:12" ht="42.75">
      <c r="A410" s="7" t="s">
        <v>434</v>
      </c>
      <c r="B410" s="4" t="s">
        <v>333</v>
      </c>
      <c r="C410" s="4" t="s">
        <v>267</v>
      </c>
      <c r="D410" s="4" t="s">
        <v>260</v>
      </c>
      <c r="E410" s="4" t="s">
        <v>550</v>
      </c>
      <c r="F410" s="4"/>
      <c r="G410" s="6" t="s">
        <v>433</v>
      </c>
      <c r="H410" s="53">
        <v>17374.8</v>
      </c>
      <c r="I410" s="53">
        <v>17374.8</v>
      </c>
      <c r="J410" s="53">
        <v>17374.8</v>
      </c>
      <c r="K410" s="53">
        <v>17374.8</v>
      </c>
      <c r="L410" s="83"/>
    </row>
    <row r="411" spans="1:12" ht="14.25">
      <c r="A411" s="2" t="s">
        <v>157</v>
      </c>
      <c r="B411" s="4" t="s">
        <v>333</v>
      </c>
      <c r="C411" s="4" t="s">
        <v>267</v>
      </c>
      <c r="D411" s="4" t="s">
        <v>260</v>
      </c>
      <c r="E411" s="4" t="s">
        <v>274</v>
      </c>
      <c r="F411" s="4"/>
      <c r="G411" s="6"/>
      <c r="H411" s="53">
        <f>H414+H415+H412</f>
        <v>65022.2</v>
      </c>
      <c r="I411" s="53">
        <f>I414+I415+I412</f>
        <v>0</v>
      </c>
      <c r="J411" s="53">
        <f>J414+J415+J412</f>
        <v>65022.2</v>
      </c>
      <c r="K411" s="53">
        <f>K414+K415+K412</f>
        <v>0</v>
      </c>
      <c r="L411" s="83"/>
    </row>
    <row r="412" spans="1:12" ht="28.5">
      <c r="A412" s="2" t="s">
        <v>599</v>
      </c>
      <c r="B412" s="4" t="s">
        <v>333</v>
      </c>
      <c r="C412" s="4" t="s">
        <v>267</v>
      </c>
      <c r="D412" s="4" t="s">
        <v>260</v>
      </c>
      <c r="E412" s="4" t="s">
        <v>274</v>
      </c>
      <c r="F412" s="4"/>
      <c r="G412" s="6" t="s">
        <v>526</v>
      </c>
      <c r="H412" s="53">
        <f>H413</f>
        <v>140</v>
      </c>
      <c r="I412" s="53">
        <f>I413</f>
        <v>0</v>
      </c>
      <c r="J412" s="53">
        <f>J413</f>
        <v>140</v>
      </c>
      <c r="K412" s="53">
        <f>K413</f>
        <v>0</v>
      </c>
      <c r="L412" s="83"/>
    </row>
    <row r="413" spans="1:12" ht="28.5">
      <c r="A413" s="2" t="s">
        <v>431</v>
      </c>
      <c r="B413" s="4" t="s">
        <v>333</v>
      </c>
      <c r="C413" s="4" t="s">
        <v>267</v>
      </c>
      <c r="D413" s="4" t="s">
        <v>260</v>
      </c>
      <c r="E413" s="4" t="s">
        <v>274</v>
      </c>
      <c r="F413" s="4"/>
      <c r="G413" s="6" t="s">
        <v>421</v>
      </c>
      <c r="H413" s="53">
        <v>140</v>
      </c>
      <c r="I413" s="53"/>
      <c r="J413" s="53">
        <v>140</v>
      </c>
      <c r="K413" s="53"/>
      <c r="L413" s="83"/>
    </row>
    <row r="414" spans="1:12" ht="42.75">
      <c r="A414" s="2" t="s">
        <v>429</v>
      </c>
      <c r="B414" s="4" t="s">
        <v>333</v>
      </c>
      <c r="C414" s="4" t="s">
        <v>267</v>
      </c>
      <c r="D414" s="4" t="s">
        <v>260</v>
      </c>
      <c r="E414" s="4" t="s">
        <v>274</v>
      </c>
      <c r="F414" s="4"/>
      <c r="G414" s="6" t="s">
        <v>402</v>
      </c>
      <c r="H414" s="53">
        <f>17304.6-274.4</f>
        <v>17030.199999999997</v>
      </c>
      <c r="I414" s="53"/>
      <c r="J414" s="53">
        <v>17030.2</v>
      </c>
      <c r="K414" s="53"/>
      <c r="L414" s="83"/>
    </row>
    <row r="415" spans="1:12" ht="42.75">
      <c r="A415" s="7" t="s">
        <v>434</v>
      </c>
      <c r="B415" s="4" t="s">
        <v>333</v>
      </c>
      <c r="C415" s="4" t="s">
        <v>267</v>
      </c>
      <c r="D415" s="4" t="s">
        <v>260</v>
      </c>
      <c r="E415" s="4" t="s">
        <v>274</v>
      </c>
      <c r="F415" s="4"/>
      <c r="G415" s="6" t="s">
        <v>433</v>
      </c>
      <c r="H415" s="53">
        <v>47852</v>
      </c>
      <c r="I415" s="53"/>
      <c r="J415" s="53">
        <v>47852</v>
      </c>
      <c r="K415" s="53"/>
      <c r="L415" s="83"/>
    </row>
    <row r="416" spans="1:12" ht="14.25">
      <c r="A416" s="2" t="s">
        <v>160</v>
      </c>
      <c r="B416" s="4" t="s">
        <v>333</v>
      </c>
      <c r="C416" s="4" t="s">
        <v>267</v>
      </c>
      <c r="D416" s="4" t="s">
        <v>260</v>
      </c>
      <c r="E416" s="4" t="s">
        <v>161</v>
      </c>
      <c r="F416" s="4"/>
      <c r="G416" s="6"/>
      <c r="H416" s="53">
        <f>H417</f>
        <v>67020.8</v>
      </c>
      <c r="I416" s="53">
        <f aca="true" t="shared" si="34" ref="I416:K417">I417</f>
        <v>0</v>
      </c>
      <c r="J416" s="53">
        <f t="shared" si="34"/>
        <v>67020.8</v>
      </c>
      <c r="K416" s="53">
        <f t="shared" si="34"/>
        <v>0</v>
      </c>
      <c r="L416" s="83"/>
    </row>
    <row r="417" spans="1:12" ht="14.25">
      <c r="A417" s="2" t="s">
        <v>157</v>
      </c>
      <c r="B417" s="4" t="s">
        <v>333</v>
      </c>
      <c r="C417" s="4" t="s">
        <v>267</v>
      </c>
      <c r="D417" s="4" t="s">
        <v>260</v>
      </c>
      <c r="E417" s="4" t="s">
        <v>275</v>
      </c>
      <c r="F417" s="4"/>
      <c r="G417" s="6"/>
      <c r="H417" s="53">
        <f>H418</f>
        <v>67020.8</v>
      </c>
      <c r="I417" s="53">
        <f t="shared" si="34"/>
        <v>0</v>
      </c>
      <c r="J417" s="53">
        <f t="shared" si="34"/>
        <v>67020.8</v>
      </c>
      <c r="K417" s="53">
        <f t="shared" si="34"/>
        <v>0</v>
      </c>
      <c r="L417" s="83"/>
    </row>
    <row r="418" spans="1:12" ht="42.75">
      <c r="A418" s="2" t="s">
        <v>429</v>
      </c>
      <c r="B418" s="4" t="s">
        <v>333</v>
      </c>
      <c r="C418" s="4" t="s">
        <v>267</v>
      </c>
      <c r="D418" s="4" t="s">
        <v>260</v>
      </c>
      <c r="E418" s="4" t="s">
        <v>275</v>
      </c>
      <c r="F418" s="4"/>
      <c r="G418" s="6" t="s">
        <v>402</v>
      </c>
      <c r="H418" s="53">
        <f>64542+1000+938.8+540</f>
        <v>67020.8</v>
      </c>
      <c r="I418" s="53"/>
      <c r="J418" s="53">
        <v>67020.8</v>
      </c>
      <c r="K418" s="53"/>
      <c r="L418" s="83"/>
    </row>
    <row r="419" spans="1:12" ht="14.25">
      <c r="A419" s="2" t="s">
        <v>82</v>
      </c>
      <c r="B419" s="4" t="s">
        <v>333</v>
      </c>
      <c r="C419" s="4" t="s">
        <v>267</v>
      </c>
      <c r="D419" s="4" t="s">
        <v>260</v>
      </c>
      <c r="E419" s="4" t="s">
        <v>79</v>
      </c>
      <c r="F419" s="4"/>
      <c r="G419" s="6"/>
      <c r="H419" s="53">
        <f>H420</f>
        <v>15403</v>
      </c>
      <c r="I419" s="53">
        <f aca="true" t="shared" si="35" ref="I419:K420">I420</f>
        <v>15403</v>
      </c>
      <c r="J419" s="53">
        <f t="shared" si="35"/>
        <v>15403</v>
      </c>
      <c r="K419" s="53">
        <f t="shared" si="35"/>
        <v>15403</v>
      </c>
      <c r="L419" s="83"/>
    </row>
    <row r="420" spans="1:12" ht="14.25">
      <c r="A420" s="2" t="s">
        <v>81</v>
      </c>
      <c r="B420" s="4" t="s">
        <v>333</v>
      </c>
      <c r="C420" s="4" t="s">
        <v>267</v>
      </c>
      <c r="D420" s="4" t="s">
        <v>260</v>
      </c>
      <c r="E420" s="4" t="s">
        <v>80</v>
      </c>
      <c r="F420" s="4"/>
      <c r="G420" s="6"/>
      <c r="H420" s="53">
        <f>H421</f>
        <v>15403</v>
      </c>
      <c r="I420" s="53">
        <f t="shared" si="35"/>
        <v>15403</v>
      </c>
      <c r="J420" s="53">
        <f t="shared" si="35"/>
        <v>15403</v>
      </c>
      <c r="K420" s="53">
        <f t="shared" si="35"/>
        <v>15403</v>
      </c>
      <c r="L420" s="83"/>
    </row>
    <row r="421" spans="1:12" ht="28.5">
      <c r="A421" s="2" t="s">
        <v>431</v>
      </c>
      <c r="B421" s="4" t="s">
        <v>333</v>
      </c>
      <c r="C421" s="4" t="s">
        <v>267</v>
      </c>
      <c r="D421" s="4" t="s">
        <v>260</v>
      </c>
      <c r="E421" s="4" t="s">
        <v>80</v>
      </c>
      <c r="F421" s="4"/>
      <c r="G421" s="6" t="s">
        <v>421</v>
      </c>
      <c r="H421" s="53">
        <v>15403</v>
      </c>
      <c r="I421" s="53">
        <v>15403</v>
      </c>
      <c r="J421" s="53">
        <v>15403</v>
      </c>
      <c r="K421" s="53">
        <v>15403</v>
      </c>
      <c r="L421" s="83"/>
    </row>
    <row r="422" spans="1:12" ht="14.25">
      <c r="A422" s="2" t="s">
        <v>220</v>
      </c>
      <c r="B422" s="4" t="s">
        <v>333</v>
      </c>
      <c r="C422" s="4" t="s">
        <v>267</v>
      </c>
      <c r="D422" s="4" t="s">
        <v>260</v>
      </c>
      <c r="E422" s="4" t="s">
        <v>200</v>
      </c>
      <c r="F422" s="4"/>
      <c r="G422" s="6"/>
      <c r="H422" s="53">
        <f>H423+H426</f>
        <v>6708</v>
      </c>
      <c r="I422" s="53">
        <f>I423+I426</f>
        <v>6708</v>
      </c>
      <c r="J422" s="53">
        <f>J423+J426</f>
        <v>6692.8</v>
      </c>
      <c r="K422" s="53">
        <f>K423+K426</f>
        <v>6692.8</v>
      </c>
      <c r="L422" s="83"/>
    </row>
    <row r="423" spans="1:12" ht="28.5">
      <c r="A423" s="2" t="s">
        <v>29</v>
      </c>
      <c r="B423" s="4" t="s">
        <v>333</v>
      </c>
      <c r="C423" s="4" t="s">
        <v>267</v>
      </c>
      <c r="D423" s="4" t="s">
        <v>260</v>
      </c>
      <c r="E423" s="4" t="s">
        <v>28</v>
      </c>
      <c r="F423" s="4"/>
      <c r="G423" s="6"/>
      <c r="H423" s="53">
        <f>H424+H425</f>
        <v>4708</v>
      </c>
      <c r="I423" s="53">
        <f>I424+I425</f>
        <v>4708</v>
      </c>
      <c r="J423" s="53">
        <f>J424+J425</f>
        <v>4692.8</v>
      </c>
      <c r="K423" s="53">
        <f>K424+K425</f>
        <v>4692.8</v>
      </c>
      <c r="L423" s="83"/>
    </row>
    <row r="424" spans="1:12" ht="14.25">
      <c r="A424" s="7" t="s">
        <v>399</v>
      </c>
      <c r="B424" s="4" t="s">
        <v>333</v>
      </c>
      <c r="C424" s="4" t="s">
        <v>267</v>
      </c>
      <c r="D424" s="4" t="s">
        <v>260</v>
      </c>
      <c r="E424" s="4" t="s">
        <v>28</v>
      </c>
      <c r="F424" s="4"/>
      <c r="G424" s="6" t="s">
        <v>398</v>
      </c>
      <c r="H424" s="53">
        <f>223.6+670.9-10-62.9</f>
        <v>821.6</v>
      </c>
      <c r="I424" s="53">
        <f>223.6+670.9-10-62.9</f>
        <v>821.6</v>
      </c>
      <c r="J424" s="53">
        <v>806.5</v>
      </c>
      <c r="K424" s="53">
        <v>806.5</v>
      </c>
      <c r="L424" s="83"/>
    </row>
    <row r="425" spans="1:12" ht="14.25">
      <c r="A425" s="7" t="s">
        <v>428</v>
      </c>
      <c r="B425" s="4" t="s">
        <v>333</v>
      </c>
      <c r="C425" s="4" t="s">
        <v>267</v>
      </c>
      <c r="D425" s="4" t="s">
        <v>260</v>
      </c>
      <c r="E425" s="4" t="s">
        <v>28</v>
      </c>
      <c r="F425" s="4"/>
      <c r="G425" s="6" t="s">
        <v>427</v>
      </c>
      <c r="H425" s="53">
        <v>3886.4</v>
      </c>
      <c r="I425" s="53">
        <v>3886.4</v>
      </c>
      <c r="J425" s="53">
        <v>3886.3</v>
      </c>
      <c r="K425" s="53">
        <v>3886.3</v>
      </c>
      <c r="L425" s="83"/>
    </row>
    <row r="426" spans="1:12" ht="85.5">
      <c r="A426" s="2" t="s">
        <v>59</v>
      </c>
      <c r="B426" s="4" t="s">
        <v>333</v>
      </c>
      <c r="C426" s="4" t="s">
        <v>267</v>
      </c>
      <c r="D426" s="4" t="s">
        <v>260</v>
      </c>
      <c r="E426" s="4" t="s">
        <v>58</v>
      </c>
      <c r="F426" s="4"/>
      <c r="G426" s="6"/>
      <c r="H426" s="53">
        <f>H427</f>
        <v>2000</v>
      </c>
      <c r="I426" s="53">
        <f>I427</f>
        <v>2000</v>
      </c>
      <c r="J426" s="53">
        <f>J427</f>
        <v>2000</v>
      </c>
      <c r="K426" s="53">
        <f>K427</f>
        <v>2000</v>
      </c>
      <c r="L426" s="83"/>
    </row>
    <row r="427" spans="1:12" ht="42" customHeight="1">
      <c r="A427" s="2" t="s">
        <v>57</v>
      </c>
      <c r="B427" s="4" t="s">
        <v>333</v>
      </c>
      <c r="C427" s="4" t="s">
        <v>267</v>
      </c>
      <c r="D427" s="4" t="s">
        <v>260</v>
      </c>
      <c r="E427" s="4" t="s">
        <v>56</v>
      </c>
      <c r="F427" s="4"/>
      <c r="G427" s="6"/>
      <c r="H427" s="53">
        <f>H428+H429</f>
        <v>2000</v>
      </c>
      <c r="I427" s="53">
        <f>I428+I429</f>
        <v>2000</v>
      </c>
      <c r="J427" s="53">
        <f>J428+J429</f>
        <v>2000</v>
      </c>
      <c r="K427" s="53">
        <f>K428+K429</f>
        <v>2000</v>
      </c>
      <c r="L427" s="83"/>
    </row>
    <row r="428" spans="1:12" ht="14.25">
      <c r="A428" s="7" t="s">
        <v>399</v>
      </c>
      <c r="B428" s="4" t="s">
        <v>333</v>
      </c>
      <c r="C428" s="4" t="s">
        <v>267</v>
      </c>
      <c r="D428" s="4" t="s">
        <v>260</v>
      </c>
      <c r="E428" s="4" t="s">
        <v>56</v>
      </c>
      <c r="F428" s="4"/>
      <c r="G428" s="6" t="s">
        <v>398</v>
      </c>
      <c r="H428" s="53">
        <f>700+500</f>
        <v>1200</v>
      </c>
      <c r="I428" s="53">
        <f>700+500</f>
        <v>1200</v>
      </c>
      <c r="J428" s="53">
        <v>1200</v>
      </c>
      <c r="K428" s="53">
        <v>1200</v>
      </c>
      <c r="L428" s="83"/>
    </row>
    <row r="429" spans="1:12" ht="14.25">
      <c r="A429" s="7" t="s">
        <v>428</v>
      </c>
      <c r="B429" s="4" t="s">
        <v>333</v>
      </c>
      <c r="C429" s="4" t="s">
        <v>267</v>
      </c>
      <c r="D429" s="4" t="s">
        <v>260</v>
      </c>
      <c r="E429" s="4" t="s">
        <v>56</v>
      </c>
      <c r="F429" s="4"/>
      <c r="G429" s="6" t="s">
        <v>427</v>
      </c>
      <c r="H429" s="53">
        <v>800</v>
      </c>
      <c r="I429" s="53">
        <v>800</v>
      </c>
      <c r="J429" s="53">
        <v>800</v>
      </c>
      <c r="K429" s="53">
        <v>800</v>
      </c>
      <c r="L429" s="83"/>
    </row>
    <row r="430" spans="1:12" ht="14.25">
      <c r="A430" s="7" t="s">
        <v>530</v>
      </c>
      <c r="B430" s="4" t="s">
        <v>333</v>
      </c>
      <c r="C430" s="4" t="s">
        <v>267</v>
      </c>
      <c r="D430" s="4" t="s">
        <v>260</v>
      </c>
      <c r="E430" s="4" t="s">
        <v>528</v>
      </c>
      <c r="F430" s="4"/>
      <c r="G430" s="6"/>
      <c r="H430" s="53">
        <f aca="true" t="shared" si="36" ref="H430:K432">H431</f>
        <v>3039.3</v>
      </c>
      <c r="I430" s="53">
        <f t="shared" si="36"/>
        <v>3039.3</v>
      </c>
      <c r="J430" s="53">
        <f t="shared" si="36"/>
        <v>3039.3</v>
      </c>
      <c r="K430" s="53">
        <f t="shared" si="36"/>
        <v>3039.3</v>
      </c>
      <c r="L430" s="83"/>
    </row>
    <row r="431" spans="1:12" ht="42.75">
      <c r="A431" s="7" t="s">
        <v>118</v>
      </c>
      <c r="B431" s="4" t="s">
        <v>333</v>
      </c>
      <c r="C431" s="4" t="s">
        <v>267</v>
      </c>
      <c r="D431" s="4" t="s">
        <v>260</v>
      </c>
      <c r="E431" s="4" t="s">
        <v>115</v>
      </c>
      <c r="F431" s="4"/>
      <c r="G431" s="6"/>
      <c r="H431" s="53">
        <f t="shared" si="36"/>
        <v>3039.3</v>
      </c>
      <c r="I431" s="53">
        <f t="shared" si="36"/>
        <v>3039.3</v>
      </c>
      <c r="J431" s="53">
        <f t="shared" si="36"/>
        <v>3039.3</v>
      </c>
      <c r="K431" s="53">
        <f t="shared" si="36"/>
        <v>3039.3</v>
      </c>
      <c r="L431" s="83"/>
    </row>
    <row r="432" spans="1:12" ht="57">
      <c r="A432" s="7" t="s">
        <v>117</v>
      </c>
      <c r="B432" s="4" t="s">
        <v>333</v>
      </c>
      <c r="C432" s="4" t="s">
        <v>267</v>
      </c>
      <c r="D432" s="4" t="s">
        <v>260</v>
      </c>
      <c r="E432" s="4" t="s">
        <v>116</v>
      </c>
      <c r="F432" s="4"/>
      <c r="G432" s="6"/>
      <c r="H432" s="53">
        <f t="shared" si="36"/>
        <v>3039.3</v>
      </c>
      <c r="I432" s="53">
        <f t="shared" si="36"/>
        <v>3039.3</v>
      </c>
      <c r="J432" s="53">
        <f t="shared" si="36"/>
        <v>3039.3</v>
      </c>
      <c r="K432" s="53">
        <f t="shared" si="36"/>
        <v>3039.3</v>
      </c>
      <c r="L432" s="83"/>
    </row>
    <row r="433" spans="1:12" ht="42.75">
      <c r="A433" s="2" t="s">
        <v>429</v>
      </c>
      <c r="B433" s="4" t="s">
        <v>333</v>
      </c>
      <c r="C433" s="4" t="s">
        <v>267</v>
      </c>
      <c r="D433" s="4" t="s">
        <v>260</v>
      </c>
      <c r="E433" s="4" t="s">
        <v>116</v>
      </c>
      <c r="F433" s="4"/>
      <c r="G433" s="6" t="s">
        <v>402</v>
      </c>
      <c r="H433" s="53">
        <v>3039.3</v>
      </c>
      <c r="I433" s="53">
        <v>3039.3</v>
      </c>
      <c r="J433" s="53">
        <v>3039.3</v>
      </c>
      <c r="K433" s="53">
        <v>3039.3</v>
      </c>
      <c r="L433" s="83"/>
    </row>
    <row r="434" spans="1:12" ht="42.75" customHeight="1">
      <c r="A434" s="2" t="s">
        <v>516</v>
      </c>
      <c r="B434" s="4" t="s">
        <v>333</v>
      </c>
      <c r="C434" s="4" t="s">
        <v>267</v>
      </c>
      <c r="D434" s="4" t="s">
        <v>260</v>
      </c>
      <c r="E434" s="4" t="s">
        <v>513</v>
      </c>
      <c r="F434" s="4"/>
      <c r="G434" s="6"/>
      <c r="H434" s="53">
        <f>H435+H444+H438+H440+H442</f>
        <v>22394</v>
      </c>
      <c r="I434" s="53">
        <f>I435+I444+I438+I440+I442</f>
        <v>22394</v>
      </c>
      <c r="J434" s="53">
        <f>J435+J444+J438+J440+J442</f>
        <v>22394</v>
      </c>
      <c r="K434" s="53">
        <f>K435+K444+K438+K440+K442</f>
        <v>22394</v>
      </c>
      <c r="L434" s="83"/>
    </row>
    <row r="435" spans="1:12" ht="14.25">
      <c r="A435" s="7" t="s">
        <v>520</v>
      </c>
      <c r="B435" s="4" t="s">
        <v>333</v>
      </c>
      <c r="C435" s="4" t="s">
        <v>267</v>
      </c>
      <c r="D435" s="4" t="s">
        <v>260</v>
      </c>
      <c r="E435" s="4" t="s">
        <v>517</v>
      </c>
      <c r="F435" s="4"/>
      <c r="G435" s="6"/>
      <c r="H435" s="53">
        <f>H436+H437</f>
        <v>263</v>
      </c>
      <c r="I435" s="53">
        <f>I436+I437</f>
        <v>263</v>
      </c>
      <c r="J435" s="53">
        <f>J436+J437</f>
        <v>263</v>
      </c>
      <c r="K435" s="53">
        <f>K436+K437</f>
        <v>263</v>
      </c>
      <c r="L435" s="83"/>
    </row>
    <row r="436" spans="1:12" ht="42.75">
      <c r="A436" s="2" t="s">
        <v>429</v>
      </c>
      <c r="B436" s="4" t="s">
        <v>333</v>
      </c>
      <c r="C436" s="4" t="s">
        <v>267</v>
      </c>
      <c r="D436" s="4" t="s">
        <v>260</v>
      </c>
      <c r="E436" s="4" t="s">
        <v>517</v>
      </c>
      <c r="F436" s="4"/>
      <c r="G436" s="6" t="s">
        <v>402</v>
      </c>
      <c r="H436" s="53">
        <f>116.4-11.6</f>
        <v>104.80000000000001</v>
      </c>
      <c r="I436" s="53">
        <f>116.4-11.6</f>
        <v>104.80000000000001</v>
      </c>
      <c r="J436" s="53">
        <v>104.8</v>
      </c>
      <c r="K436" s="53">
        <v>104.8</v>
      </c>
      <c r="L436" s="83"/>
    </row>
    <row r="437" spans="1:12" ht="42.75">
      <c r="A437" s="7" t="s">
        <v>434</v>
      </c>
      <c r="B437" s="4" t="s">
        <v>333</v>
      </c>
      <c r="C437" s="4" t="s">
        <v>267</v>
      </c>
      <c r="D437" s="4" t="s">
        <v>260</v>
      </c>
      <c r="E437" s="4" t="s">
        <v>517</v>
      </c>
      <c r="F437" s="4"/>
      <c r="G437" s="6" t="s">
        <v>433</v>
      </c>
      <c r="H437" s="53">
        <f>146.6+11.6</f>
        <v>158.2</v>
      </c>
      <c r="I437" s="53">
        <f>146.6+11.6</f>
        <v>158.2</v>
      </c>
      <c r="J437" s="53">
        <v>158.2</v>
      </c>
      <c r="K437" s="53">
        <v>158.2</v>
      </c>
      <c r="L437" s="83"/>
    </row>
    <row r="438" spans="1:12" ht="70.5" customHeight="1">
      <c r="A438" s="7" t="s">
        <v>63</v>
      </c>
      <c r="B438" s="4" t="s">
        <v>333</v>
      </c>
      <c r="C438" s="4" t="s">
        <v>267</v>
      </c>
      <c r="D438" s="4" t="s">
        <v>260</v>
      </c>
      <c r="E438" s="4" t="s">
        <v>62</v>
      </c>
      <c r="F438" s="4"/>
      <c r="G438" s="6"/>
      <c r="H438" s="53">
        <f>H439</f>
        <v>1100</v>
      </c>
      <c r="I438" s="53">
        <f>I439</f>
        <v>1100</v>
      </c>
      <c r="J438" s="53">
        <f>J439</f>
        <v>1100</v>
      </c>
      <c r="K438" s="53">
        <f>K439</f>
        <v>1100</v>
      </c>
      <c r="L438" s="83"/>
    </row>
    <row r="439" spans="1:12" ht="33" customHeight="1">
      <c r="A439" s="2" t="s">
        <v>431</v>
      </c>
      <c r="B439" s="4" t="s">
        <v>333</v>
      </c>
      <c r="C439" s="4" t="s">
        <v>267</v>
      </c>
      <c r="D439" s="4" t="s">
        <v>260</v>
      </c>
      <c r="E439" s="4" t="s">
        <v>62</v>
      </c>
      <c r="F439" s="4"/>
      <c r="G439" s="6" t="s">
        <v>421</v>
      </c>
      <c r="H439" s="53">
        <v>1100</v>
      </c>
      <c r="I439" s="53">
        <v>1100</v>
      </c>
      <c r="J439" s="53">
        <v>1100</v>
      </c>
      <c r="K439" s="53">
        <v>1100</v>
      </c>
      <c r="L439" s="83"/>
    </row>
    <row r="440" spans="1:12" ht="85.5">
      <c r="A440" s="7" t="s">
        <v>64</v>
      </c>
      <c r="B440" s="4" t="s">
        <v>333</v>
      </c>
      <c r="C440" s="4" t="s">
        <v>267</v>
      </c>
      <c r="D440" s="4" t="s">
        <v>260</v>
      </c>
      <c r="E440" s="4" t="s">
        <v>65</v>
      </c>
      <c r="F440" s="4"/>
      <c r="G440" s="6"/>
      <c r="H440" s="53">
        <f>H441</f>
        <v>1000</v>
      </c>
      <c r="I440" s="53">
        <f>I441</f>
        <v>1000</v>
      </c>
      <c r="J440" s="53">
        <f>J441</f>
        <v>1000</v>
      </c>
      <c r="K440" s="53">
        <f>K441</f>
        <v>1000</v>
      </c>
      <c r="L440" s="83"/>
    </row>
    <row r="441" spans="1:12" ht="30" customHeight="1">
      <c r="A441" s="2" t="s">
        <v>431</v>
      </c>
      <c r="B441" s="4" t="s">
        <v>333</v>
      </c>
      <c r="C441" s="4" t="s">
        <v>267</v>
      </c>
      <c r="D441" s="4" t="s">
        <v>260</v>
      </c>
      <c r="E441" s="4" t="s">
        <v>65</v>
      </c>
      <c r="F441" s="4"/>
      <c r="G441" s="6" t="s">
        <v>421</v>
      </c>
      <c r="H441" s="53">
        <v>1000</v>
      </c>
      <c r="I441" s="53">
        <v>1000</v>
      </c>
      <c r="J441" s="53">
        <v>1000</v>
      </c>
      <c r="K441" s="53">
        <v>1000</v>
      </c>
      <c r="L441" s="83"/>
    </row>
    <row r="442" spans="1:12" ht="70.5" customHeight="1">
      <c r="A442" s="2" t="s">
        <v>21</v>
      </c>
      <c r="B442" s="4" t="s">
        <v>333</v>
      </c>
      <c r="C442" s="4" t="s">
        <v>267</v>
      </c>
      <c r="D442" s="4" t="s">
        <v>260</v>
      </c>
      <c r="E442" s="4" t="s">
        <v>20</v>
      </c>
      <c r="F442" s="4"/>
      <c r="G442" s="6"/>
      <c r="H442" s="53">
        <f>H443</f>
        <v>1000</v>
      </c>
      <c r="I442" s="53">
        <f>I443</f>
        <v>1000</v>
      </c>
      <c r="J442" s="53">
        <f>J443</f>
        <v>1000</v>
      </c>
      <c r="K442" s="53">
        <f>K443</f>
        <v>1000</v>
      </c>
      <c r="L442" s="83"/>
    </row>
    <row r="443" spans="1:12" ht="33.75" customHeight="1">
      <c r="A443" s="2" t="s">
        <v>431</v>
      </c>
      <c r="B443" s="4" t="s">
        <v>333</v>
      </c>
      <c r="C443" s="4" t="s">
        <v>267</v>
      </c>
      <c r="D443" s="4" t="s">
        <v>260</v>
      </c>
      <c r="E443" s="4" t="s">
        <v>20</v>
      </c>
      <c r="F443" s="4"/>
      <c r="G443" s="6" t="s">
        <v>421</v>
      </c>
      <c r="H443" s="53">
        <v>1000</v>
      </c>
      <c r="I443" s="53">
        <v>1000</v>
      </c>
      <c r="J443" s="53">
        <v>1000</v>
      </c>
      <c r="K443" s="53">
        <v>1000</v>
      </c>
      <c r="L443" s="83"/>
    </row>
    <row r="444" spans="1:12" ht="71.25" customHeight="1">
      <c r="A444" s="7" t="s">
        <v>74</v>
      </c>
      <c r="B444" s="4" t="s">
        <v>333</v>
      </c>
      <c r="C444" s="4" t="s">
        <v>267</v>
      </c>
      <c r="D444" s="4" t="s">
        <v>260</v>
      </c>
      <c r="E444" s="4" t="s">
        <v>585</v>
      </c>
      <c r="F444" s="4"/>
      <c r="G444" s="6"/>
      <c r="H444" s="53">
        <f>H445+H446</f>
        <v>19031</v>
      </c>
      <c r="I444" s="53">
        <f>I445+I446</f>
        <v>19031</v>
      </c>
      <c r="J444" s="53">
        <f>J445+J446</f>
        <v>19031</v>
      </c>
      <c r="K444" s="53">
        <f>K445+K446</f>
        <v>19031</v>
      </c>
      <c r="L444" s="83"/>
    </row>
    <row r="445" spans="1:12" ht="14.25">
      <c r="A445" s="7" t="s">
        <v>399</v>
      </c>
      <c r="B445" s="4" t="s">
        <v>333</v>
      </c>
      <c r="C445" s="4" t="s">
        <v>267</v>
      </c>
      <c r="D445" s="4" t="s">
        <v>260</v>
      </c>
      <c r="E445" s="4" t="s">
        <v>585</v>
      </c>
      <c r="F445" s="4"/>
      <c r="G445" s="6" t="s">
        <v>398</v>
      </c>
      <c r="H445" s="53">
        <v>11331</v>
      </c>
      <c r="I445" s="53">
        <v>11331</v>
      </c>
      <c r="J445" s="53">
        <v>11331</v>
      </c>
      <c r="K445" s="53">
        <v>11331</v>
      </c>
      <c r="L445" s="83"/>
    </row>
    <row r="446" spans="1:12" ht="14.25">
      <c r="A446" s="7" t="s">
        <v>428</v>
      </c>
      <c r="B446" s="4" t="s">
        <v>333</v>
      </c>
      <c r="C446" s="4" t="s">
        <v>267</v>
      </c>
      <c r="D446" s="4" t="s">
        <v>260</v>
      </c>
      <c r="E446" s="4" t="s">
        <v>585</v>
      </c>
      <c r="F446" s="4"/>
      <c r="G446" s="6" t="s">
        <v>427</v>
      </c>
      <c r="H446" s="53">
        <v>7700</v>
      </c>
      <c r="I446" s="53">
        <v>7700</v>
      </c>
      <c r="J446" s="53">
        <v>7700</v>
      </c>
      <c r="K446" s="53">
        <v>7700</v>
      </c>
      <c r="L446" s="83"/>
    </row>
    <row r="447" spans="1:12" ht="14.25">
      <c r="A447" s="2" t="s">
        <v>223</v>
      </c>
      <c r="B447" s="4" t="s">
        <v>333</v>
      </c>
      <c r="C447" s="4" t="s">
        <v>267</v>
      </c>
      <c r="D447" s="4" t="s">
        <v>260</v>
      </c>
      <c r="E447" s="4" t="s">
        <v>224</v>
      </c>
      <c r="F447" s="4"/>
      <c r="G447" s="6"/>
      <c r="H447" s="53">
        <f>H448</f>
        <v>33080.7</v>
      </c>
      <c r="I447" s="53">
        <f>I448</f>
        <v>0</v>
      </c>
      <c r="J447" s="53">
        <f>J448</f>
        <v>32993</v>
      </c>
      <c r="K447" s="53">
        <f>K448</f>
        <v>0</v>
      </c>
      <c r="L447" s="83"/>
    </row>
    <row r="448" spans="1:12" ht="28.5">
      <c r="A448" s="2" t="s">
        <v>479</v>
      </c>
      <c r="B448" s="4" t="s">
        <v>333</v>
      </c>
      <c r="C448" s="4" t="s">
        <v>267</v>
      </c>
      <c r="D448" s="4" t="s">
        <v>260</v>
      </c>
      <c r="E448" s="4" t="s">
        <v>377</v>
      </c>
      <c r="F448" s="4"/>
      <c r="G448" s="6"/>
      <c r="H448" s="53">
        <f>H449+H450</f>
        <v>33080.7</v>
      </c>
      <c r="I448" s="53">
        <f>I449+I450</f>
        <v>0</v>
      </c>
      <c r="J448" s="53">
        <f>J449+J450</f>
        <v>32993</v>
      </c>
      <c r="K448" s="53">
        <f>K449+K450</f>
        <v>0</v>
      </c>
      <c r="L448" s="83"/>
    </row>
    <row r="449" spans="1:12" ht="14.25">
      <c r="A449" s="7" t="s">
        <v>399</v>
      </c>
      <c r="B449" s="4" t="s">
        <v>333</v>
      </c>
      <c r="C449" s="4" t="s">
        <v>267</v>
      </c>
      <c r="D449" s="4" t="s">
        <v>260</v>
      </c>
      <c r="E449" s="4" t="s">
        <v>377</v>
      </c>
      <c r="F449" s="4"/>
      <c r="G449" s="6" t="s">
        <v>398</v>
      </c>
      <c r="H449" s="53">
        <v>13475.5</v>
      </c>
      <c r="I449" s="53"/>
      <c r="J449" s="53">
        <v>13475.5</v>
      </c>
      <c r="K449" s="53"/>
      <c r="L449" s="83"/>
    </row>
    <row r="450" spans="1:12" ht="14.25">
      <c r="A450" s="7" t="s">
        <v>428</v>
      </c>
      <c r="B450" s="4" t="s">
        <v>333</v>
      </c>
      <c r="C450" s="4" t="s">
        <v>267</v>
      </c>
      <c r="D450" s="4" t="s">
        <v>260</v>
      </c>
      <c r="E450" s="4" t="s">
        <v>377</v>
      </c>
      <c r="F450" s="4"/>
      <c r="G450" s="6" t="s">
        <v>427</v>
      </c>
      <c r="H450" s="53">
        <v>19605.2</v>
      </c>
      <c r="I450" s="53"/>
      <c r="J450" s="53">
        <v>19517.5</v>
      </c>
      <c r="K450" s="53"/>
      <c r="L450" s="83"/>
    </row>
    <row r="451" spans="1:12" ht="21" customHeight="1">
      <c r="A451" s="47" t="s">
        <v>159</v>
      </c>
      <c r="B451" s="3" t="s">
        <v>333</v>
      </c>
      <c r="C451" s="3" t="s">
        <v>267</v>
      </c>
      <c r="D451" s="3" t="s">
        <v>267</v>
      </c>
      <c r="E451" s="4"/>
      <c r="F451" s="4"/>
      <c r="G451" s="6"/>
      <c r="H451" s="53">
        <f>H457+H452</f>
        <v>9752.5</v>
      </c>
      <c r="I451" s="53">
        <f>I457+I452</f>
        <v>5558.599999999999</v>
      </c>
      <c r="J451" s="53">
        <f>J457+J452</f>
        <v>9725.599999999999</v>
      </c>
      <c r="K451" s="53">
        <f>K457+K452</f>
        <v>5558.599999999999</v>
      </c>
      <c r="L451" s="83"/>
    </row>
    <row r="452" spans="1:12" ht="19.5" customHeight="1">
      <c r="A452" s="2" t="s">
        <v>530</v>
      </c>
      <c r="B452" s="4" t="s">
        <v>333</v>
      </c>
      <c r="C452" s="4" t="s">
        <v>267</v>
      </c>
      <c r="D452" s="4" t="s">
        <v>267</v>
      </c>
      <c r="E452" s="4" t="s">
        <v>528</v>
      </c>
      <c r="F452" s="4"/>
      <c r="G452" s="6"/>
      <c r="H452" s="53">
        <f>H453</f>
        <v>5558.599999999999</v>
      </c>
      <c r="I452" s="53">
        <f>I453</f>
        <v>5558.599999999999</v>
      </c>
      <c r="J452" s="53">
        <f>J453</f>
        <v>5558.599999999999</v>
      </c>
      <c r="K452" s="53">
        <f>K453</f>
        <v>5558.599999999999</v>
      </c>
      <c r="L452" s="83"/>
    </row>
    <row r="453" spans="1:12" ht="48" customHeight="1">
      <c r="A453" s="2" t="s">
        <v>60</v>
      </c>
      <c r="B453" s="4" t="s">
        <v>333</v>
      </c>
      <c r="C453" s="4" t="s">
        <v>267</v>
      </c>
      <c r="D453" s="4" t="s">
        <v>267</v>
      </c>
      <c r="E453" s="4" t="s">
        <v>46</v>
      </c>
      <c r="F453" s="4"/>
      <c r="G453" s="6"/>
      <c r="H453" s="53">
        <f>H455+H456+H454</f>
        <v>5558.599999999999</v>
      </c>
      <c r="I453" s="53">
        <f>I455+I456+I454</f>
        <v>5558.599999999999</v>
      </c>
      <c r="J453" s="53">
        <f>J455+J456+J454</f>
        <v>5558.599999999999</v>
      </c>
      <c r="K453" s="53">
        <f>K455+K456+K454</f>
        <v>5558.599999999999</v>
      </c>
      <c r="L453" s="83"/>
    </row>
    <row r="454" spans="1:12" ht="33.75" customHeight="1">
      <c r="A454" s="2" t="s">
        <v>48</v>
      </c>
      <c r="B454" s="4" t="s">
        <v>333</v>
      </c>
      <c r="C454" s="4" t="s">
        <v>267</v>
      </c>
      <c r="D454" s="4" t="s">
        <v>267</v>
      </c>
      <c r="E454" s="4" t="s">
        <v>47</v>
      </c>
      <c r="F454" s="4"/>
      <c r="G454" s="6" t="s">
        <v>421</v>
      </c>
      <c r="H454" s="53">
        <v>93.4</v>
      </c>
      <c r="I454" s="53">
        <v>93.4</v>
      </c>
      <c r="J454" s="53">
        <v>93.4</v>
      </c>
      <c r="K454" s="53">
        <v>93.4</v>
      </c>
      <c r="L454" s="83"/>
    </row>
    <row r="455" spans="1:12" ht="18.75" customHeight="1">
      <c r="A455" s="7" t="s">
        <v>399</v>
      </c>
      <c r="B455" s="4" t="s">
        <v>333</v>
      </c>
      <c r="C455" s="4" t="s">
        <v>267</v>
      </c>
      <c r="D455" s="4" t="s">
        <v>267</v>
      </c>
      <c r="E455" s="4" t="s">
        <v>47</v>
      </c>
      <c r="F455" s="4"/>
      <c r="G455" s="6" t="s">
        <v>398</v>
      </c>
      <c r="H455" s="53">
        <v>1838.5</v>
      </c>
      <c r="I455" s="53">
        <v>1838.5</v>
      </c>
      <c r="J455" s="53">
        <v>1838.5</v>
      </c>
      <c r="K455" s="53">
        <v>1838.5</v>
      </c>
      <c r="L455" s="83"/>
    </row>
    <row r="456" spans="1:12" ht="19.5" customHeight="1">
      <c r="A456" s="7" t="s">
        <v>428</v>
      </c>
      <c r="B456" s="4" t="s">
        <v>333</v>
      </c>
      <c r="C456" s="4" t="s">
        <v>267</v>
      </c>
      <c r="D456" s="4" t="s">
        <v>267</v>
      </c>
      <c r="E456" s="4" t="s">
        <v>47</v>
      </c>
      <c r="F456" s="4"/>
      <c r="G456" s="6" t="s">
        <v>427</v>
      </c>
      <c r="H456" s="53">
        <v>3626.7</v>
      </c>
      <c r="I456" s="53">
        <v>3626.7</v>
      </c>
      <c r="J456" s="53">
        <v>3626.7</v>
      </c>
      <c r="K456" s="53">
        <v>3626.7</v>
      </c>
      <c r="L456" s="83"/>
    </row>
    <row r="457" spans="1:12" ht="20.25" customHeight="1">
      <c r="A457" s="2" t="s">
        <v>223</v>
      </c>
      <c r="B457" s="4" t="s">
        <v>333</v>
      </c>
      <c r="C457" s="4" t="s">
        <v>267</v>
      </c>
      <c r="D457" s="4" t="s">
        <v>267</v>
      </c>
      <c r="E457" s="4" t="s">
        <v>224</v>
      </c>
      <c r="F457" s="4"/>
      <c r="G457" s="6"/>
      <c r="H457" s="53">
        <f>H458</f>
        <v>4193.9</v>
      </c>
      <c r="I457" s="53">
        <f>I458</f>
        <v>0</v>
      </c>
      <c r="J457" s="53">
        <f>J458</f>
        <v>4167</v>
      </c>
      <c r="K457" s="53">
        <f>K458</f>
        <v>0</v>
      </c>
      <c r="L457" s="83"/>
    </row>
    <row r="458" spans="1:12" ht="28.5">
      <c r="A458" s="2" t="s">
        <v>479</v>
      </c>
      <c r="B458" s="4" t="s">
        <v>333</v>
      </c>
      <c r="C458" s="4" t="s">
        <v>267</v>
      </c>
      <c r="D458" s="4" t="s">
        <v>267</v>
      </c>
      <c r="E458" s="4" t="s">
        <v>377</v>
      </c>
      <c r="F458" s="4"/>
      <c r="G458" s="6"/>
      <c r="H458" s="53">
        <f>H459+H460+H461</f>
        <v>4193.9</v>
      </c>
      <c r="I458" s="53">
        <f>I459+I460+I461</f>
        <v>0</v>
      </c>
      <c r="J458" s="53">
        <f>J459+J460+J461</f>
        <v>4167</v>
      </c>
      <c r="K458" s="53">
        <f>K459+K460+K461</f>
        <v>0</v>
      </c>
      <c r="L458" s="83"/>
    </row>
    <row r="459" spans="1:12" ht="27" customHeight="1">
      <c r="A459" s="2" t="s">
        <v>431</v>
      </c>
      <c r="B459" s="4" t="s">
        <v>333</v>
      </c>
      <c r="C459" s="4" t="s">
        <v>267</v>
      </c>
      <c r="D459" s="4" t="s">
        <v>267</v>
      </c>
      <c r="E459" s="4" t="s">
        <v>377</v>
      </c>
      <c r="F459" s="4"/>
      <c r="G459" s="6" t="s">
        <v>421</v>
      </c>
      <c r="H459" s="53">
        <f>4242.2-3554.6-413.5-47.3-1</f>
        <v>225.7999999999999</v>
      </c>
      <c r="I459" s="53"/>
      <c r="J459" s="53">
        <v>225.8</v>
      </c>
      <c r="K459" s="53"/>
      <c r="L459" s="83"/>
    </row>
    <row r="460" spans="1:12" ht="16.5" customHeight="1">
      <c r="A460" s="7" t="s">
        <v>399</v>
      </c>
      <c r="B460" s="4" t="s">
        <v>333</v>
      </c>
      <c r="C460" s="4" t="s">
        <v>267</v>
      </c>
      <c r="D460" s="4" t="s">
        <v>267</v>
      </c>
      <c r="E460" s="4" t="s">
        <v>377</v>
      </c>
      <c r="F460" s="4"/>
      <c r="G460" s="6" t="s">
        <v>398</v>
      </c>
      <c r="H460" s="53">
        <f>1513.6-1164.8</f>
        <v>348.79999999999995</v>
      </c>
      <c r="I460" s="53"/>
      <c r="J460" s="53">
        <v>327.1</v>
      </c>
      <c r="K460" s="53"/>
      <c r="L460" s="83"/>
    </row>
    <row r="461" spans="1:12" ht="18" customHeight="1">
      <c r="A461" s="7" t="s">
        <v>428</v>
      </c>
      <c r="B461" s="4" t="s">
        <v>333</v>
      </c>
      <c r="C461" s="4" t="s">
        <v>267</v>
      </c>
      <c r="D461" s="4" t="s">
        <v>267</v>
      </c>
      <c r="E461" s="4" t="s">
        <v>377</v>
      </c>
      <c r="F461" s="4"/>
      <c r="G461" s="6" t="s">
        <v>427</v>
      </c>
      <c r="H461" s="53">
        <f>2041+1578.3</f>
        <v>3619.3</v>
      </c>
      <c r="I461" s="53"/>
      <c r="J461" s="53">
        <v>3614.1</v>
      </c>
      <c r="K461" s="53"/>
      <c r="L461" s="83"/>
    </row>
    <row r="462" spans="1:12" ht="15">
      <c r="A462" s="47" t="s">
        <v>162</v>
      </c>
      <c r="B462" s="3" t="s">
        <v>333</v>
      </c>
      <c r="C462" s="3" t="s">
        <v>267</v>
      </c>
      <c r="D462" s="3" t="s">
        <v>265</v>
      </c>
      <c r="E462" s="3"/>
      <c r="F462" s="3"/>
      <c r="G462" s="5"/>
      <c r="H462" s="48">
        <f>H463+H474+H481+H490+H479+H487</f>
        <v>82875.20000000001</v>
      </c>
      <c r="I462" s="48">
        <f>I463+I474+I481+I490+I479+I487</f>
        <v>17316.6</v>
      </c>
      <c r="J462" s="48">
        <f>J463+J474+J481+J490+J479+J487</f>
        <v>78223.4</v>
      </c>
      <c r="K462" s="48">
        <f>K463+K474+K481+K490+K479+K487</f>
        <v>12690.6</v>
      </c>
      <c r="L462" s="63">
        <f>J462/H462*100</f>
        <v>94.38698187153695</v>
      </c>
    </row>
    <row r="463" spans="1:12" ht="43.5">
      <c r="A463" s="2" t="s">
        <v>296</v>
      </c>
      <c r="B463" s="4" t="s">
        <v>333</v>
      </c>
      <c r="C463" s="4" t="s">
        <v>267</v>
      </c>
      <c r="D463" s="4" t="s">
        <v>265</v>
      </c>
      <c r="E463" s="4" t="s">
        <v>293</v>
      </c>
      <c r="F463" s="3"/>
      <c r="G463" s="6"/>
      <c r="H463" s="48">
        <f>H464</f>
        <v>14566.699999999999</v>
      </c>
      <c r="I463" s="48">
        <f>I464</f>
        <v>0</v>
      </c>
      <c r="J463" s="48">
        <f>J464</f>
        <v>14556.1</v>
      </c>
      <c r="K463" s="48">
        <f>K464</f>
        <v>0</v>
      </c>
      <c r="L463" s="63">
        <f>J463/H463*100</f>
        <v>99.92723128780027</v>
      </c>
    </row>
    <row r="464" spans="1:12" ht="15">
      <c r="A464" s="2" t="s">
        <v>176</v>
      </c>
      <c r="B464" s="4" t="s">
        <v>333</v>
      </c>
      <c r="C464" s="4" t="s">
        <v>267</v>
      </c>
      <c r="D464" s="4" t="s">
        <v>265</v>
      </c>
      <c r="E464" s="4" t="s">
        <v>295</v>
      </c>
      <c r="F464" s="3"/>
      <c r="G464" s="6"/>
      <c r="H464" s="48">
        <f>H465+H468+H471</f>
        <v>14566.699999999999</v>
      </c>
      <c r="I464" s="48">
        <f>I465+I468+I471</f>
        <v>0</v>
      </c>
      <c r="J464" s="48">
        <f>J465+J468+J471</f>
        <v>14556.1</v>
      </c>
      <c r="K464" s="48">
        <f>K465+K468+K471</f>
        <v>0</v>
      </c>
      <c r="L464" s="63">
        <f>J464/H464*100</f>
        <v>99.92723128780027</v>
      </c>
    </row>
    <row r="465" spans="1:12" s="49" customFormat="1" ht="15">
      <c r="A465" s="2" t="s">
        <v>551</v>
      </c>
      <c r="B465" s="4" t="s">
        <v>333</v>
      </c>
      <c r="C465" s="4" t="s">
        <v>267</v>
      </c>
      <c r="D465" s="4" t="s">
        <v>265</v>
      </c>
      <c r="E465" s="4" t="s">
        <v>295</v>
      </c>
      <c r="F465" s="4"/>
      <c r="G465" s="6" t="s">
        <v>393</v>
      </c>
      <c r="H465" s="53">
        <f>H466+H467</f>
        <v>13506.9</v>
      </c>
      <c r="I465" s="53">
        <f>I466+I467</f>
        <v>0</v>
      </c>
      <c r="J465" s="53">
        <f>J466+J467</f>
        <v>13506.9</v>
      </c>
      <c r="K465" s="53">
        <f>K466+K467</f>
        <v>0</v>
      </c>
      <c r="L465" s="63"/>
    </row>
    <row r="466" spans="1:12" ht="14.25">
      <c r="A466" s="2" t="s">
        <v>415</v>
      </c>
      <c r="B466" s="4" t="s">
        <v>333</v>
      </c>
      <c r="C466" s="4" t="s">
        <v>267</v>
      </c>
      <c r="D466" s="4" t="s">
        <v>265</v>
      </c>
      <c r="E466" s="4" t="s">
        <v>295</v>
      </c>
      <c r="F466" s="4"/>
      <c r="G466" s="6" t="s">
        <v>414</v>
      </c>
      <c r="H466" s="53">
        <v>13505.8</v>
      </c>
      <c r="I466" s="53"/>
      <c r="J466" s="53">
        <v>13505.8</v>
      </c>
      <c r="K466" s="53"/>
      <c r="L466" s="83"/>
    </row>
    <row r="467" spans="1:12" ht="28.5">
      <c r="A467" s="2" t="s">
        <v>417</v>
      </c>
      <c r="B467" s="4" t="s">
        <v>333</v>
      </c>
      <c r="C467" s="4" t="s">
        <v>267</v>
      </c>
      <c r="D467" s="4" t="s">
        <v>265</v>
      </c>
      <c r="E467" s="4" t="s">
        <v>295</v>
      </c>
      <c r="F467" s="4"/>
      <c r="G467" s="6" t="s">
        <v>416</v>
      </c>
      <c r="H467" s="53">
        <v>1.1</v>
      </c>
      <c r="I467" s="53"/>
      <c r="J467" s="53">
        <v>1.1</v>
      </c>
      <c r="K467" s="53"/>
      <c r="L467" s="83"/>
    </row>
    <row r="468" spans="1:12" ht="28.5">
      <c r="A468" s="2" t="s">
        <v>599</v>
      </c>
      <c r="B468" s="4" t="s">
        <v>333</v>
      </c>
      <c r="C468" s="4" t="s">
        <v>267</v>
      </c>
      <c r="D468" s="4" t="s">
        <v>265</v>
      </c>
      <c r="E468" s="4" t="s">
        <v>295</v>
      </c>
      <c r="F468" s="4"/>
      <c r="G468" s="6" t="s">
        <v>526</v>
      </c>
      <c r="H468" s="53">
        <f>H469+H470</f>
        <v>1037.5</v>
      </c>
      <c r="I468" s="53">
        <f>I469+I470</f>
        <v>0</v>
      </c>
      <c r="J468" s="53">
        <f>J469+J470</f>
        <v>1036.1</v>
      </c>
      <c r="K468" s="53">
        <f>K469+K470</f>
        <v>0</v>
      </c>
      <c r="L468" s="83"/>
    </row>
    <row r="469" spans="1:12" ht="28.5">
      <c r="A469" s="2" t="s">
        <v>440</v>
      </c>
      <c r="B469" s="4" t="s">
        <v>333</v>
      </c>
      <c r="C469" s="4" t="s">
        <v>267</v>
      </c>
      <c r="D469" s="4" t="s">
        <v>265</v>
      </c>
      <c r="E469" s="4" t="s">
        <v>295</v>
      </c>
      <c r="F469" s="4"/>
      <c r="G469" s="6" t="s">
        <v>437</v>
      </c>
      <c r="H469" s="53">
        <v>478.9</v>
      </c>
      <c r="I469" s="53"/>
      <c r="J469" s="53">
        <v>477.5</v>
      </c>
      <c r="K469" s="53"/>
      <c r="L469" s="83"/>
    </row>
    <row r="470" spans="1:12" ht="32.25" customHeight="1">
      <c r="A470" s="2" t="s">
        <v>431</v>
      </c>
      <c r="B470" s="4" t="s">
        <v>333</v>
      </c>
      <c r="C470" s="4" t="s">
        <v>267</v>
      </c>
      <c r="D470" s="4" t="s">
        <v>265</v>
      </c>
      <c r="E470" s="4" t="s">
        <v>295</v>
      </c>
      <c r="F470" s="4"/>
      <c r="G470" s="6" t="s">
        <v>421</v>
      </c>
      <c r="H470" s="53">
        <v>558.6</v>
      </c>
      <c r="I470" s="53"/>
      <c r="J470" s="53">
        <v>558.6</v>
      </c>
      <c r="K470" s="53"/>
      <c r="L470" s="83"/>
    </row>
    <row r="471" spans="1:12" ht="23.25" customHeight="1">
      <c r="A471" s="2" t="s">
        <v>553</v>
      </c>
      <c r="B471" s="4" t="s">
        <v>333</v>
      </c>
      <c r="C471" s="4" t="s">
        <v>267</v>
      </c>
      <c r="D471" s="4" t="s">
        <v>265</v>
      </c>
      <c r="E471" s="4" t="s">
        <v>295</v>
      </c>
      <c r="F471" s="4"/>
      <c r="G471" s="6" t="s">
        <v>527</v>
      </c>
      <c r="H471" s="53">
        <f>H472+H473</f>
        <v>22.3</v>
      </c>
      <c r="I471" s="53">
        <f>I472+I473</f>
        <v>0</v>
      </c>
      <c r="J471" s="53">
        <f>J472+J473</f>
        <v>13.1</v>
      </c>
      <c r="K471" s="53">
        <f>K472+K473</f>
        <v>0</v>
      </c>
      <c r="L471" s="83"/>
    </row>
    <row r="472" spans="1:12" ht="28.5">
      <c r="A472" s="2" t="s">
        <v>363</v>
      </c>
      <c r="B472" s="4" t="s">
        <v>333</v>
      </c>
      <c r="C472" s="4" t="s">
        <v>267</v>
      </c>
      <c r="D472" s="4" t="s">
        <v>265</v>
      </c>
      <c r="E472" s="4" t="s">
        <v>295</v>
      </c>
      <c r="F472" s="4"/>
      <c r="G472" s="6" t="s">
        <v>418</v>
      </c>
      <c r="H472" s="53">
        <v>19.3</v>
      </c>
      <c r="I472" s="53"/>
      <c r="J472" s="53">
        <v>10.1</v>
      </c>
      <c r="K472" s="53"/>
      <c r="L472" s="83"/>
    </row>
    <row r="473" spans="1:12" ht="14.25">
      <c r="A473" s="2" t="s">
        <v>442</v>
      </c>
      <c r="B473" s="4" t="s">
        <v>333</v>
      </c>
      <c r="C473" s="4" t="s">
        <v>267</v>
      </c>
      <c r="D473" s="4" t="s">
        <v>265</v>
      </c>
      <c r="E473" s="4" t="s">
        <v>295</v>
      </c>
      <c r="F473" s="4"/>
      <c r="G473" s="6" t="s">
        <v>441</v>
      </c>
      <c r="H473" s="53">
        <v>3</v>
      </c>
      <c r="I473" s="53"/>
      <c r="J473" s="53">
        <v>3</v>
      </c>
      <c r="K473" s="53"/>
      <c r="L473" s="83"/>
    </row>
    <row r="474" spans="1:12" ht="28.5">
      <c r="A474" s="2" t="s">
        <v>321</v>
      </c>
      <c r="B474" s="4" t="s">
        <v>333</v>
      </c>
      <c r="C474" s="4" t="s">
        <v>267</v>
      </c>
      <c r="D474" s="4" t="s">
        <v>265</v>
      </c>
      <c r="E474" s="4" t="s">
        <v>158</v>
      </c>
      <c r="F474" s="4"/>
      <c r="G474" s="6"/>
      <c r="H474" s="53">
        <f>H475+H477</f>
        <v>11816.6</v>
      </c>
      <c r="I474" s="53">
        <f>I475+I477</f>
        <v>11816.6</v>
      </c>
      <c r="J474" s="53">
        <f>J475+J477</f>
        <v>11816.6</v>
      </c>
      <c r="K474" s="53">
        <f>K475+K477</f>
        <v>11816.6</v>
      </c>
      <c r="L474" s="83"/>
    </row>
    <row r="475" spans="1:12" ht="183" customHeight="1">
      <c r="A475" s="70" t="s">
        <v>575</v>
      </c>
      <c r="B475" s="4" t="s">
        <v>333</v>
      </c>
      <c r="C475" s="4" t="s">
        <v>267</v>
      </c>
      <c r="D475" s="4" t="s">
        <v>265</v>
      </c>
      <c r="E475" s="4" t="s">
        <v>61</v>
      </c>
      <c r="F475" s="4"/>
      <c r="G475" s="6"/>
      <c r="H475" s="53">
        <f>H476</f>
        <v>11223</v>
      </c>
      <c r="I475" s="53">
        <f>I476</f>
        <v>11223</v>
      </c>
      <c r="J475" s="53">
        <f>J476</f>
        <v>11223</v>
      </c>
      <c r="K475" s="53">
        <f>K476</f>
        <v>11223</v>
      </c>
      <c r="L475" s="83"/>
    </row>
    <row r="476" spans="1:12" ht="28.5">
      <c r="A476" s="2" t="s">
        <v>396</v>
      </c>
      <c r="B476" s="4" t="s">
        <v>333</v>
      </c>
      <c r="C476" s="4" t="s">
        <v>267</v>
      </c>
      <c r="D476" s="4" t="s">
        <v>265</v>
      </c>
      <c r="E476" s="4" t="s">
        <v>61</v>
      </c>
      <c r="F476" s="4"/>
      <c r="G476" s="6" t="s">
        <v>395</v>
      </c>
      <c r="H476" s="53">
        <v>11223</v>
      </c>
      <c r="I476" s="53">
        <v>11223</v>
      </c>
      <c r="J476" s="53">
        <v>11223</v>
      </c>
      <c r="K476" s="53">
        <v>11223</v>
      </c>
      <c r="L476" s="83"/>
    </row>
    <row r="477" spans="1:12" ht="45">
      <c r="A477" s="70" t="s">
        <v>584</v>
      </c>
      <c r="B477" s="4" t="s">
        <v>333</v>
      </c>
      <c r="C477" s="4" t="s">
        <v>267</v>
      </c>
      <c r="D477" s="4" t="s">
        <v>265</v>
      </c>
      <c r="E477" s="4" t="s">
        <v>550</v>
      </c>
      <c r="F477" s="4"/>
      <c r="G477" s="6"/>
      <c r="H477" s="53">
        <f>H478</f>
        <v>593.6</v>
      </c>
      <c r="I477" s="53">
        <f>I478</f>
        <v>593.6</v>
      </c>
      <c r="J477" s="53">
        <f>J478</f>
        <v>593.6</v>
      </c>
      <c r="K477" s="53">
        <f>K478</f>
        <v>593.6</v>
      </c>
      <c r="L477" s="83"/>
    </row>
    <row r="478" spans="1:12" ht="28.5">
      <c r="A478" s="2" t="s">
        <v>396</v>
      </c>
      <c r="B478" s="4" t="s">
        <v>333</v>
      </c>
      <c r="C478" s="4" t="s">
        <v>267</v>
      </c>
      <c r="D478" s="4" t="s">
        <v>265</v>
      </c>
      <c r="E478" s="4" t="s">
        <v>550</v>
      </c>
      <c r="F478" s="4"/>
      <c r="G478" s="6" t="s">
        <v>395</v>
      </c>
      <c r="H478" s="53">
        <v>593.6</v>
      </c>
      <c r="I478" s="53">
        <v>593.6</v>
      </c>
      <c r="J478" s="53">
        <v>593.6</v>
      </c>
      <c r="K478" s="53">
        <v>593.6</v>
      </c>
      <c r="L478" s="83"/>
    </row>
    <row r="479" spans="1:12" ht="42.75">
      <c r="A479" s="7" t="s">
        <v>568</v>
      </c>
      <c r="B479" s="4" t="s">
        <v>333</v>
      </c>
      <c r="C479" s="4" t="s">
        <v>267</v>
      </c>
      <c r="D479" s="4" t="s">
        <v>265</v>
      </c>
      <c r="E479" s="4" t="s">
        <v>567</v>
      </c>
      <c r="F479" s="4"/>
      <c r="G479" s="6"/>
      <c r="H479" s="53">
        <f>H480</f>
        <v>2267</v>
      </c>
      <c r="I479" s="53">
        <f>I480</f>
        <v>2267</v>
      </c>
      <c r="J479" s="53">
        <f>J480</f>
        <v>0</v>
      </c>
      <c r="K479" s="53">
        <f>K480</f>
        <v>0</v>
      </c>
      <c r="L479" s="83"/>
    </row>
    <row r="480" spans="1:12" ht="28.5">
      <c r="A480" s="7" t="s">
        <v>411</v>
      </c>
      <c r="B480" s="4" t="s">
        <v>333</v>
      </c>
      <c r="C480" s="4" t="s">
        <v>267</v>
      </c>
      <c r="D480" s="4" t="s">
        <v>265</v>
      </c>
      <c r="E480" s="4" t="s">
        <v>567</v>
      </c>
      <c r="F480" s="4"/>
      <c r="G480" s="6" t="s">
        <v>407</v>
      </c>
      <c r="H480" s="53">
        <v>2267</v>
      </c>
      <c r="I480" s="53">
        <v>2267</v>
      </c>
      <c r="J480" s="53"/>
      <c r="K480" s="53"/>
      <c r="L480" s="83"/>
    </row>
    <row r="481" spans="1:12" ht="57">
      <c r="A481" s="2" t="s">
        <v>214</v>
      </c>
      <c r="B481" s="4" t="s">
        <v>333</v>
      </c>
      <c r="C481" s="4" t="s">
        <v>267</v>
      </c>
      <c r="D481" s="4" t="s">
        <v>265</v>
      </c>
      <c r="E481" s="4" t="s">
        <v>168</v>
      </c>
      <c r="F481" s="4"/>
      <c r="G481" s="6"/>
      <c r="H481" s="53">
        <f>H482+H484</f>
        <v>30450</v>
      </c>
      <c r="I481" s="53">
        <f>I482+I484</f>
        <v>874</v>
      </c>
      <c r="J481" s="53">
        <f>J482+J484</f>
        <v>30450</v>
      </c>
      <c r="K481" s="53">
        <f>K482+K484</f>
        <v>874</v>
      </c>
      <c r="L481" s="83"/>
    </row>
    <row r="482" spans="1:12" ht="35.25" customHeight="1">
      <c r="A482" s="2" t="s">
        <v>397</v>
      </c>
      <c r="B482" s="4" t="s">
        <v>333</v>
      </c>
      <c r="C482" s="4" t="s">
        <v>267</v>
      </c>
      <c r="D482" s="4" t="s">
        <v>265</v>
      </c>
      <c r="E482" s="4" t="s">
        <v>552</v>
      </c>
      <c r="F482" s="4"/>
      <c r="G482" s="6"/>
      <c r="H482" s="53">
        <f>H483</f>
        <v>874</v>
      </c>
      <c r="I482" s="53">
        <f>I483</f>
        <v>874</v>
      </c>
      <c r="J482" s="53">
        <f>J483</f>
        <v>874</v>
      </c>
      <c r="K482" s="53">
        <f>K483</f>
        <v>874</v>
      </c>
      <c r="L482" s="83"/>
    </row>
    <row r="483" spans="1:12" ht="42.75">
      <c r="A483" s="2" t="s">
        <v>429</v>
      </c>
      <c r="B483" s="4" t="s">
        <v>333</v>
      </c>
      <c r="C483" s="4" t="s">
        <v>267</v>
      </c>
      <c r="D483" s="4" t="s">
        <v>265</v>
      </c>
      <c r="E483" s="4" t="s">
        <v>552</v>
      </c>
      <c r="F483" s="4"/>
      <c r="G483" s="6" t="s">
        <v>402</v>
      </c>
      <c r="H483" s="53">
        <v>874</v>
      </c>
      <c r="I483" s="53">
        <v>874</v>
      </c>
      <c r="J483" s="53">
        <v>874</v>
      </c>
      <c r="K483" s="53">
        <v>874</v>
      </c>
      <c r="L483" s="83"/>
    </row>
    <row r="484" spans="1:12" ht="14.25">
      <c r="A484" s="2" t="s">
        <v>157</v>
      </c>
      <c r="B484" s="4" t="s">
        <v>333</v>
      </c>
      <c r="C484" s="4" t="s">
        <v>267</v>
      </c>
      <c r="D484" s="4" t="s">
        <v>265</v>
      </c>
      <c r="E484" s="4" t="s">
        <v>276</v>
      </c>
      <c r="F484" s="4"/>
      <c r="G484" s="6"/>
      <c r="H484" s="53">
        <f>H485+H486</f>
        <v>29576</v>
      </c>
      <c r="I484" s="53">
        <f>I485+I486</f>
        <v>0</v>
      </c>
      <c r="J484" s="53">
        <f>J485+J486</f>
        <v>29576</v>
      </c>
      <c r="K484" s="53">
        <f>K485+K486</f>
        <v>0</v>
      </c>
      <c r="L484" s="83"/>
    </row>
    <row r="485" spans="1:12" ht="42.75">
      <c r="A485" s="2" t="s">
        <v>429</v>
      </c>
      <c r="B485" s="4" t="s">
        <v>333</v>
      </c>
      <c r="C485" s="4" t="s">
        <v>267</v>
      </c>
      <c r="D485" s="4" t="s">
        <v>265</v>
      </c>
      <c r="E485" s="4" t="s">
        <v>276</v>
      </c>
      <c r="F485" s="4"/>
      <c r="G485" s="6" t="s">
        <v>402</v>
      </c>
      <c r="H485" s="53">
        <f>26676+2700</f>
        <v>29376</v>
      </c>
      <c r="I485" s="53"/>
      <c r="J485" s="53">
        <v>29376</v>
      </c>
      <c r="K485" s="53"/>
      <c r="L485" s="83"/>
    </row>
    <row r="486" spans="1:12" ht="14.25">
      <c r="A486" s="7" t="s">
        <v>399</v>
      </c>
      <c r="B486" s="4" t="s">
        <v>333</v>
      </c>
      <c r="C486" s="4" t="s">
        <v>267</v>
      </c>
      <c r="D486" s="4" t="s">
        <v>265</v>
      </c>
      <c r="E486" s="4" t="s">
        <v>276</v>
      </c>
      <c r="F486" s="4"/>
      <c r="G486" s="6" t="s">
        <v>398</v>
      </c>
      <c r="H486" s="53">
        <v>200</v>
      </c>
      <c r="I486" s="53"/>
      <c r="J486" s="53">
        <v>200</v>
      </c>
      <c r="K486" s="53"/>
      <c r="L486" s="83"/>
    </row>
    <row r="487" spans="1:12" ht="14.25">
      <c r="A487" s="7" t="s">
        <v>530</v>
      </c>
      <c r="B487" s="4" t="s">
        <v>333</v>
      </c>
      <c r="C487" s="4" t="s">
        <v>267</v>
      </c>
      <c r="D487" s="4" t="s">
        <v>265</v>
      </c>
      <c r="E487" s="4" t="s">
        <v>528</v>
      </c>
      <c r="F487" s="4"/>
      <c r="G487" s="6"/>
      <c r="H487" s="53">
        <f>H488</f>
        <v>2359</v>
      </c>
      <c r="I487" s="53">
        <f aca="true" t="shared" si="37" ref="I487:K488">I488</f>
        <v>2359</v>
      </c>
      <c r="J487" s="53">
        <f t="shared" si="37"/>
        <v>0</v>
      </c>
      <c r="K487" s="53">
        <f t="shared" si="37"/>
        <v>0</v>
      </c>
      <c r="L487" s="83"/>
    </row>
    <row r="488" spans="1:12" ht="28.5">
      <c r="A488" s="7" t="s">
        <v>570</v>
      </c>
      <c r="B488" s="4" t="s">
        <v>333</v>
      </c>
      <c r="C488" s="4" t="s">
        <v>267</v>
      </c>
      <c r="D488" s="4" t="s">
        <v>265</v>
      </c>
      <c r="E488" s="4" t="s">
        <v>569</v>
      </c>
      <c r="F488" s="4"/>
      <c r="G488" s="6"/>
      <c r="H488" s="53">
        <f>H489</f>
        <v>2359</v>
      </c>
      <c r="I488" s="53">
        <f t="shared" si="37"/>
        <v>2359</v>
      </c>
      <c r="J488" s="53">
        <f t="shared" si="37"/>
        <v>0</v>
      </c>
      <c r="K488" s="53">
        <f t="shared" si="37"/>
        <v>0</v>
      </c>
      <c r="L488" s="83"/>
    </row>
    <row r="489" spans="1:12" ht="28.5">
      <c r="A489" s="7" t="s">
        <v>411</v>
      </c>
      <c r="B489" s="4" t="s">
        <v>333</v>
      </c>
      <c r="C489" s="4" t="s">
        <v>267</v>
      </c>
      <c r="D489" s="4" t="s">
        <v>265</v>
      </c>
      <c r="E489" s="4" t="s">
        <v>569</v>
      </c>
      <c r="F489" s="4"/>
      <c r="G489" s="6" t="s">
        <v>407</v>
      </c>
      <c r="H489" s="53">
        <v>2359</v>
      </c>
      <c r="I489" s="53">
        <v>2359</v>
      </c>
      <c r="J489" s="53"/>
      <c r="K489" s="53"/>
      <c r="L489" s="83"/>
    </row>
    <row r="490" spans="1:12" ht="20.25" customHeight="1">
      <c r="A490" s="2" t="s">
        <v>223</v>
      </c>
      <c r="B490" s="4" t="s">
        <v>333</v>
      </c>
      <c r="C490" s="4" t="s">
        <v>267</v>
      </c>
      <c r="D490" s="4" t="s">
        <v>265</v>
      </c>
      <c r="E490" s="4" t="s">
        <v>224</v>
      </c>
      <c r="F490" s="4"/>
      <c r="G490" s="6"/>
      <c r="H490" s="53">
        <f>H491+H496</f>
        <v>21415.9</v>
      </c>
      <c r="I490" s="53">
        <f>I491+I496</f>
        <v>0</v>
      </c>
      <c r="J490" s="53">
        <f>J491+J496</f>
        <v>21400.7</v>
      </c>
      <c r="K490" s="53">
        <f>K491+K496</f>
        <v>0</v>
      </c>
      <c r="L490" s="83"/>
    </row>
    <row r="491" spans="1:12" ht="44.25" customHeight="1">
      <c r="A491" s="2" t="s">
        <v>360</v>
      </c>
      <c r="B491" s="4" t="s">
        <v>333</v>
      </c>
      <c r="C491" s="4" t="s">
        <v>267</v>
      </c>
      <c r="D491" s="4" t="s">
        <v>265</v>
      </c>
      <c r="E491" s="4" t="s">
        <v>277</v>
      </c>
      <c r="F491" s="4"/>
      <c r="G491" s="6"/>
      <c r="H491" s="53">
        <f>H492+H493</f>
        <v>2984.9</v>
      </c>
      <c r="I491" s="53">
        <f>I492+I493</f>
        <v>0</v>
      </c>
      <c r="J491" s="53">
        <f>J492+J493</f>
        <v>2983.9</v>
      </c>
      <c r="K491" s="53">
        <f>K492+K493</f>
        <v>0</v>
      </c>
      <c r="L491" s="83"/>
    </row>
    <row r="492" spans="1:12" ht="27" customHeight="1">
      <c r="A492" s="2" t="s">
        <v>417</v>
      </c>
      <c r="B492" s="4" t="s">
        <v>333</v>
      </c>
      <c r="C492" s="4" t="s">
        <v>267</v>
      </c>
      <c r="D492" s="4" t="s">
        <v>265</v>
      </c>
      <c r="E492" s="4" t="s">
        <v>277</v>
      </c>
      <c r="F492" s="4"/>
      <c r="G492" s="6" t="s">
        <v>416</v>
      </c>
      <c r="H492" s="53">
        <f>2478.3-388</f>
        <v>2090.3</v>
      </c>
      <c r="I492" s="53"/>
      <c r="J492" s="53">
        <v>2090.3</v>
      </c>
      <c r="K492" s="53"/>
      <c r="L492" s="83"/>
    </row>
    <row r="493" spans="1:12" ht="32.25" customHeight="1">
      <c r="A493" s="2" t="s">
        <v>599</v>
      </c>
      <c r="B493" s="4" t="s">
        <v>333</v>
      </c>
      <c r="C493" s="4" t="s">
        <v>267</v>
      </c>
      <c r="D493" s="4" t="s">
        <v>265</v>
      </c>
      <c r="E493" s="4" t="s">
        <v>277</v>
      </c>
      <c r="F493" s="4"/>
      <c r="G493" s="6" t="s">
        <v>526</v>
      </c>
      <c r="H493" s="53">
        <f>H494+H495</f>
        <v>894.6</v>
      </c>
      <c r="I493" s="53">
        <f>I494+I495</f>
        <v>0</v>
      </c>
      <c r="J493" s="53">
        <f>J494+J495</f>
        <v>893.6</v>
      </c>
      <c r="K493" s="53">
        <f>K494+K495</f>
        <v>0</v>
      </c>
      <c r="L493" s="83"/>
    </row>
    <row r="494" spans="1:12" ht="33.75" customHeight="1">
      <c r="A494" s="2" t="s">
        <v>440</v>
      </c>
      <c r="B494" s="4" t="s">
        <v>333</v>
      </c>
      <c r="C494" s="4" t="s">
        <v>267</v>
      </c>
      <c r="D494" s="4" t="s">
        <v>265</v>
      </c>
      <c r="E494" s="4" t="s">
        <v>277</v>
      </c>
      <c r="F494" s="4"/>
      <c r="G494" s="6" t="s">
        <v>437</v>
      </c>
      <c r="H494" s="53">
        <v>435.3</v>
      </c>
      <c r="I494" s="53"/>
      <c r="J494" s="53">
        <v>435.3</v>
      </c>
      <c r="K494" s="53"/>
      <c r="L494" s="83"/>
    </row>
    <row r="495" spans="1:12" ht="28.5">
      <c r="A495" s="2" t="s">
        <v>431</v>
      </c>
      <c r="B495" s="4" t="s">
        <v>333</v>
      </c>
      <c r="C495" s="4" t="s">
        <v>267</v>
      </c>
      <c r="D495" s="4" t="s">
        <v>265</v>
      </c>
      <c r="E495" s="4" t="s">
        <v>277</v>
      </c>
      <c r="F495" s="4"/>
      <c r="G495" s="6" t="s">
        <v>421</v>
      </c>
      <c r="H495" s="53">
        <v>459.3</v>
      </c>
      <c r="I495" s="53"/>
      <c r="J495" s="53">
        <v>458.3</v>
      </c>
      <c r="K495" s="53"/>
      <c r="L495" s="83"/>
    </row>
    <row r="496" spans="1:12" ht="28.5">
      <c r="A496" s="2" t="s">
        <v>479</v>
      </c>
      <c r="B496" s="4" t="s">
        <v>333</v>
      </c>
      <c r="C496" s="4" t="s">
        <v>267</v>
      </c>
      <c r="D496" s="4" t="s">
        <v>265</v>
      </c>
      <c r="E496" s="4" t="s">
        <v>377</v>
      </c>
      <c r="F496" s="4"/>
      <c r="G496" s="6"/>
      <c r="H496" s="53">
        <f>H498+H499+H497</f>
        <v>18431</v>
      </c>
      <c r="I496" s="53">
        <f>I498+I499+I497</f>
        <v>0</v>
      </c>
      <c r="J496" s="53">
        <f>J498+J499+J497</f>
        <v>18416.8</v>
      </c>
      <c r="K496" s="53">
        <f>K498+K499+K497</f>
        <v>0</v>
      </c>
      <c r="L496" s="83"/>
    </row>
    <row r="497" spans="1:12" ht="28.5">
      <c r="A497" s="2" t="s">
        <v>440</v>
      </c>
      <c r="B497" s="4" t="s">
        <v>333</v>
      </c>
      <c r="C497" s="4" t="s">
        <v>267</v>
      </c>
      <c r="D497" s="4" t="s">
        <v>265</v>
      </c>
      <c r="E497" s="4" t="s">
        <v>377</v>
      </c>
      <c r="F497" s="4"/>
      <c r="G497" s="6" t="s">
        <v>437</v>
      </c>
      <c r="H497" s="53">
        <f>66+1.3</f>
        <v>67.3</v>
      </c>
      <c r="I497" s="53"/>
      <c r="J497" s="53">
        <v>67.3</v>
      </c>
      <c r="K497" s="53"/>
      <c r="L497" s="83"/>
    </row>
    <row r="498" spans="1:12" ht="29.25" customHeight="1">
      <c r="A498" s="2" t="s">
        <v>431</v>
      </c>
      <c r="B498" s="4" t="s">
        <v>333</v>
      </c>
      <c r="C498" s="4" t="s">
        <v>267</v>
      </c>
      <c r="D498" s="4" t="s">
        <v>265</v>
      </c>
      <c r="E498" s="4" t="s">
        <v>377</v>
      </c>
      <c r="F498" s="4"/>
      <c r="G498" s="6" t="s">
        <v>421</v>
      </c>
      <c r="H498" s="53">
        <v>1861.7</v>
      </c>
      <c r="I498" s="53"/>
      <c r="J498" s="53">
        <v>1847.5</v>
      </c>
      <c r="K498" s="53"/>
      <c r="L498" s="83"/>
    </row>
    <row r="499" spans="1:12" ht="34.5" customHeight="1">
      <c r="A499" s="7" t="s">
        <v>411</v>
      </c>
      <c r="B499" s="4" t="s">
        <v>333</v>
      </c>
      <c r="C499" s="4" t="s">
        <v>267</v>
      </c>
      <c r="D499" s="4" t="s">
        <v>265</v>
      </c>
      <c r="E499" s="4" t="s">
        <v>377</v>
      </c>
      <c r="F499" s="4"/>
      <c r="G499" s="6" t="s">
        <v>407</v>
      </c>
      <c r="H499" s="53">
        <f>10000+2000+4320+72+110</f>
        <v>16502</v>
      </c>
      <c r="I499" s="53"/>
      <c r="J499" s="53">
        <v>16502</v>
      </c>
      <c r="K499" s="53"/>
      <c r="L499" s="83"/>
    </row>
    <row r="500" spans="1:12" ht="15">
      <c r="A500" s="47" t="s">
        <v>144</v>
      </c>
      <c r="B500" s="3" t="s">
        <v>333</v>
      </c>
      <c r="C500" s="3" t="s">
        <v>266</v>
      </c>
      <c r="D500" s="3"/>
      <c r="E500" s="3"/>
      <c r="F500" s="3"/>
      <c r="G500" s="5"/>
      <c r="H500" s="48">
        <f>H501+H506</f>
        <v>21117.4</v>
      </c>
      <c r="I500" s="48">
        <f>I501+I506</f>
        <v>20390</v>
      </c>
      <c r="J500" s="48">
        <f>J501+J506</f>
        <v>15300.2</v>
      </c>
      <c r="K500" s="48">
        <f>K501+K506</f>
        <v>14704.5</v>
      </c>
      <c r="L500" s="63">
        <f>J500/H500*100</f>
        <v>72.45304819722125</v>
      </c>
    </row>
    <row r="501" spans="1:12" ht="15">
      <c r="A501" s="47" t="s">
        <v>302</v>
      </c>
      <c r="B501" s="3" t="s">
        <v>333</v>
      </c>
      <c r="C501" s="3" t="s">
        <v>266</v>
      </c>
      <c r="D501" s="3" t="s">
        <v>261</v>
      </c>
      <c r="E501" s="3"/>
      <c r="F501" s="3"/>
      <c r="G501" s="6"/>
      <c r="H501" s="48">
        <f>H502</f>
        <v>20390</v>
      </c>
      <c r="I501" s="48">
        <f aca="true" t="shared" si="38" ref="I501:K502">I502</f>
        <v>20390</v>
      </c>
      <c r="J501" s="48">
        <f t="shared" si="38"/>
        <v>14704.5</v>
      </c>
      <c r="K501" s="48">
        <f t="shared" si="38"/>
        <v>14704.5</v>
      </c>
      <c r="L501" s="63">
        <f>J501/H501*100</f>
        <v>72.11623344776852</v>
      </c>
    </row>
    <row r="502" spans="1:12" ht="14.25">
      <c r="A502" s="2" t="s">
        <v>288</v>
      </c>
      <c r="B502" s="4" t="s">
        <v>333</v>
      </c>
      <c r="C502" s="4" t="s">
        <v>266</v>
      </c>
      <c r="D502" s="4" t="s">
        <v>261</v>
      </c>
      <c r="E502" s="4" t="s">
        <v>196</v>
      </c>
      <c r="F502" s="4"/>
      <c r="G502" s="6"/>
      <c r="H502" s="53">
        <f>H503</f>
        <v>20390</v>
      </c>
      <c r="I502" s="53">
        <f t="shared" si="38"/>
        <v>20390</v>
      </c>
      <c r="J502" s="53">
        <f t="shared" si="38"/>
        <v>14704.5</v>
      </c>
      <c r="K502" s="53">
        <f t="shared" si="38"/>
        <v>14704.5</v>
      </c>
      <c r="L502" s="83"/>
    </row>
    <row r="503" spans="1:12" ht="120" customHeight="1">
      <c r="A503" s="2" t="s">
        <v>31</v>
      </c>
      <c r="B503" s="4" t="s">
        <v>333</v>
      </c>
      <c r="C503" s="4" t="s">
        <v>266</v>
      </c>
      <c r="D503" s="4" t="s">
        <v>261</v>
      </c>
      <c r="E503" s="4" t="s">
        <v>30</v>
      </c>
      <c r="F503" s="4"/>
      <c r="G503" s="6"/>
      <c r="H503" s="53">
        <f>H505+H504</f>
        <v>20390</v>
      </c>
      <c r="I503" s="53">
        <f>I505+I504</f>
        <v>20390</v>
      </c>
      <c r="J503" s="53">
        <f>J505+J504</f>
        <v>14704.5</v>
      </c>
      <c r="K503" s="53">
        <f>K505+K504</f>
        <v>14704.5</v>
      </c>
      <c r="L503" s="83"/>
    </row>
    <row r="504" spans="1:12" ht="30.75" customHeight="1">
      <c r="A504" s="2" t="s">
        <v>431</v>
      </c>
      <c r="B504" s="4" t="s">
        <v>333</v>
      </c>
      <c r="C504" s="4" t="s">
        <v>266</v>
      </c>
      <c r="D504" s="4" t="s">
        <v>261</v>
      </c>
      <c r="E504" s="4" t="s">
        <v>30</v>
      </c>
      <c r="F504" s="4"/>
      <c r="G504" s="6" t="s">
        <v>421</v>
      </c>
      <c r="H504" s="53">
        <v>400</v>
      </c>
      <c r="I504" s="53">
        <v>400</v>
      </c>
      <c r="J504" s="53">
        <v>72.4</v>
      </c>
      <c r="K504" s="53">
        <v>72.4</v>
      </c>
      <c r="L504" s="83"/>
    </row>
    <row r="505" spans="1:12" ht="32.25" customHeight="1">
      <c r="A505" s="2" t="s">
        <v>405</v>
      </c>
      <c r="B505" s="4" t="s">
        <v>333</v>
      </c>
      <c r="C505" s="4" t="s">
        <v>266</v>
      </c>
      <c r="D505" s="4" t="s">
        <v>261</v>
      </c>
      <c r="E505" s="4" t="s">
        <v>30</v>
      </c>
      <c r="F505" s="4"/>
      <c r="G505" s="6" t="s">
        <v>404</v>
      </c>
      <c r="H505" s="53">
        <f>20390-400</f>
        <v>19990</v>
      </c>
      <c r="I505" s="53">
        <f>20390-400</f>
        <v>19990</v>
      </c>
      <c r="J505" s="53">
        <v>14632.1</v>
      </c>
      <c r="K505" s="53">
        <v>14632.1</v>
      </c>
      <c r="L505" s="83"/>
    </row>
    <row r="506" spans="1:12" ht="15">
      <c r="A506" s="47" t="s">
        <v>222</v>
      </c>
      <c r="B506" s="3" t="s">
        <v>333</v>
      </c>
      <c r="C506" s="3" t="s">
        <v>266</v>
      </c>
      <c r="D506" s="3" t="s">
        <v>272</v>
      </c>
      <c r="E506" s="4"/>
      <c r="F506" s="4"/>
      <c r="G506" s="6"/>
      <c r="H506" s="53">
        <f>H507</f>
        <v>727.4</v>
      </c>
      <c r="I506" s="53">
        <f>I507</f>
        <v>0</v>
      </c>
      <c r="J506" s="53">
        <f>J507</f>
        <v>595.7</v>
      </c>
      <c r="K506" s="53">
        <f>K507</f>
        <v>0</v>
      </c>
      <c r="L506" s="83"/>
    </row>
    <row r="507" spans="1:12" ht="42.75">
      <c r="A507" s="7" t="s">
        <v>364</v>
      </c>
      <c r="B507" s="4" t="s">
        <v>333</v>
      </c>
      <c r="C507" s="4" t="s">
        <v>266</v>
      </c>
      <c r="D507" s="4" t="s">
        <v>272</v>
      </c>
      <c r="E507" s="4" t="s">
        <v>291</v>
      </c>
      <c r="F507" s="4" t="s">
        <v>175</v>
      </c>
      <c r="G507" s="6"/>
      <c r="H507" s="53">
        <f>H508+H509</f>
        <v>727.4</v>
      </c>
      <c r="I507" s="53">
        <f>I508+I509</f>
        <v>0</v>
      </c>
      <c r="J507" s="53">
        <f>J508+J509</f>
        <v>595.7</v>
      </c>
      <c r="K507" s="53">
        <f>K508+K509</f>
        <v>0</v>
      </c>
      <c r="L507" s="83"/>
    </row>
    <row r="508" spans="1:12" ht="28.5">
      <c r="A508" s="2" t="s">
        <v>459</v>
      </c>
      <c r="B508" s="4" t="s">
        <v>333</v>
      </c>
      <c r="C508" s="4" t="s">
        <v>266</v>
      </c>
      <c r="D508" s="4" t="s">
        <v>272</v>
      </c>
      <c r="E508" s="4" t="s">
        <v>291</v>
      </c>
      <c r="F508" s="4"/>
      <c r="G508" s="6" t="s">
        <v>458</v>
      </c>
      <c r="H508" s="53">
        <f>797.4-400</f>
        <v>397.4</v>
      </c>
      <c r="I508" s="53"/>
      <c r="J508" s="53">
        <v>312.8</v>
      </c>
      <c r="K508" s="53"/>
      <c r="L508" s="83"/>
    </row>
    <row r="509" spans="1:12" ht="14.25">
      <c r="A509" s="7" t="s">
        <v>428</v>
      </c>
      <c r="B509" s="4" t="s">
        <v>333</v>
      </c>
      <c r="C509" s="4" t="s">
        <v>266</v>
      </c>
      <c r="D509" s="4" t="s">
        <v>272</v>
      </c>
      <c r="E509" s="4" t="s">
        <v>291</v>
      </c>
      <c r="F509" s="4"/>
      <c r="G509" s="6" t="s">
        <v>427</v>
      </c>
      <c r="H509" s="53">
        <v>330</v>
      </c>
      <c r="I509" s="53"/>
      <c r="J509" s="53">
        <v>282.9</v>
      </c>
      <c r="K509" s="53"/>
      <c r="L509" s="83"/>
    </row>
    <row r="510" spans="1:12" ht="46.5" customHeight="1">
      <c r="A510" s="45" t="s">
        <v>469</v>
      </c>
      <c r="B510" s="3" t="s">
        <v>340</v>
      </c>
      <c r="C510" s="3"/>
      <c r="D510" s="3"/>
      <c r="E510" s="3"/>
      <c r="F510" s="3"/>
      <c r="G510" s="5"/>
      <c r="H510" s="48">
        <f>H516+H559+H624+H511</f>
        <v>180788.1</v>
      </c>
      <c r="I510" s="48">
        <f>I516+I559+I624+I511</f>
        <v>8378.9</v>
      </c>
      <c r="J510" s="48">
        <f>J516+J559+J624+J511</f>
        <v>180141.40000000002</v>
      </c>
      <c r="K510" s="48">
        <f>K516+K559+K624+K511</f>
        <v>8375.6</v>
      </c>
      <c r="L510" s="63">
        <f>J510/H510*100</f>
        <v>99.64228840283184</v>
      </c>
    </row>
    <row r="511" spans="1:12" ht="20.25" customHeight="1">
      <c r="A511" s="47" t="s">
        <v>180</v>
      </c>
      <c r="B511" s="4" t="s">
        <v>340</v>
      </c>
      <c r="C511" s="4" t="s">
        <v>261</v>
      </c>
      <c r="D511" s="3"/>
      <c r="E511" s="3"/>
      <c r="F511" s="3"/>
      <c r="G511" s="5"/>
      <c r="H511" s="53">
        <f>H512</f>
        <v>30</v>
      </c>
      <c r="I511" s="53">
        <f aca="true" t="shared" si="39" ref="I511:K514">I512</f>
        <v>0</v>
      </c>
      <c r="J511" s="53">
        <f t="shared" si="39"/>
        <v>30</v>
      </c>
      <c r="K511" s="53">
        <f t="shared" si="39"/>
        <v>0</v>
      </c>
      <c r="L511" s="83"/>
    </row>
    <row r="512" spans="1:12" ht="15.75" customHeight="1">
      <c r="A512" s="47" t="s">
        <v>181</v>
      </c>
      <c r="B512" s="4" t="s">
        <v>340</v>
      </c>
      <c r="C512" s="4" t="s">
        <v>261</v>
      </c>
      <c r="D512" s="4" t="s">
        <v>262</v>
      </c>
      <c r="E512" s="4" t="s">
        <v>594</v>
      </c>
      <c r="F512" s="3"/>
      <c r="G512" s="5"/>
      <c r="H512" s="53">
        <f>H513</f>
        <v>30</v>
      </c>
      <c r="I512" s="53">
        <f t="shared" si="39"/>
        <v>0</v>
      </c>
      <c r="J512" s="53">
        <f t="shared" si="39"/>
        <v>30</v>
      </c>
      <c r="K512" s="53">
        <f t="shared" si="39"/>
        <v>0</v>
      </c>
      <c r="L512" s="83"/>
    </row>
    <row r="513" spans="1:12" ht="30.75" customHeight="1">
      <c r="A513" s="2" t="s">
        <v>213</v>
      </c>
      <c r="B513" s="4" t="s">
        <v>340</v>
      </c>
      <c r="C513" s="4" t="s">
        <v>261</v>
      </c>
      <c r="D513" s="4" t="s">
        <v>262</v>
      </c>
      <c r="E513" s="4" t="s">
        <v>315</v>
      </c>
      <c r="F513" s="3"/>
      <c r="G513" s="5"/>
      <c r="H513" s="53">
        <f>H514</f>
        <v>30</v>
      </c>
      <c r="I513" s="53">
        <f t="shared" si="39"/>
        <v>0</v>
      </c>
      <c r="J513" s="53">
        <f t="shared" si="39"/>
        <v>30</v>
      </c>
      <c r="K513" s="53">
        <f t="shared" si="39"/>
        <v>0</v>
      </c>
      <c r="L513" s="83"/>
    </row>
    <row r="514" spans="1:12" ht="25.5" customHeight="1">
      <c r="A514" s="2" t="s">
        <v>314</v>
      </c>
      <c r="B514" s="4" t="s">
        <v>340</v>
      </c>
      <c r="C514" s="4" t="s">
        <v>261</v>
      </c>
      <c r="D514" s="4" t="s">
        <v>262</v>
      </c>
      <c r="E514" s="4" t="s">
        <v>315</v>
      </c>
      <c r="F514" s="3"/>
      <c r="G514" s="5"/>
      <c r="H514" s="53">
        <f>H515</f>
        <v>30</v>
      </c>
      <c r="I514" s="53">
        <f t="shared" si="39"/>
        <v>0</v>
      </c>
      <c r="J514" s="53">
        <f t="shared" si="39"/>
        <v>30</v>
      </c>
      <c r="K514" s="53">
        <f t="shared" si="39"/>
        <v>0</v>
      </c>
      <c r="L514" s="83"/>
    </row>
    <row r="515" spans="1:12" ht="32.25" customHeight="1">
      <c r="A515" s="2" t="s">
        <v>431</v>
      </c>
      <c r="B515" s="4" t="s">
        <v>340</v>
      </c>
      <c r="C515" s="4" t="s">
        <v>261</v>
      </c>
      <c r="D515" s="4" t="s">
        <v>262</v>
      </c>
      <c r="E515" s="4" t="s">
        <v>315</v>
      </c>
      <c r="F515" s="3"/>
      <c r="G515" s="6" t="s">
        <v>421</v>
      </c>
      <c r="H515" s="53">
        <v>30</v>
      </c>
      <c r="I515" s="48"/>
      <c r="J515" s="53">
        <v>30</v>
      </c>
      <c r="K515" s="53"/>
      <c r="L515" s="83"/>
    </row>
    <row r="516" spans="1:12" ht="15">
      <c r="A516" s="47" t="s">
        <v>145</v>
      </c>
      <c r="B516" s="3" t="s">
        <v>340</v>
      </c>
      <c r="C516" s="3" t="s">
        <v>267</v>
      </c>
      <c r="D516" s="3"/>
      <c r="E516" s="3"/>
      <c r="F516" s="3"/>
      <c r="G516" s="5"/>
      <c r="H516" s="48">
        <f>H517+H534</f>
        <v>42586.6</v>
      </c>
      <c r="I516" s="48">
        <f>I517+I534</f>
        <v>5538.7</v>
      </c>
      <c r="J516" s="48">
        <f>J517+J534</f>
        <v>42365.600000000006</v>
      </c>
      <c r="K516" s="48">
        <f>K517+K534</f>
        <v>5536.900000000001</v>
      </c>
      <c r="L516" s="63">
        <f>J516/H516*100</f>
        <v>99.48105742181815</v>
      </c>
    </row>
    <row r="517" spans="1:12" ht="15">
      <c r="A517" s="47" t="s">
        <v>148</v>
      </c>
      <c r="B517" s="3" t="s">
        <v>340</v>
      </c>
      <c r="C517" s="3" t="s">
        <v>267</v>
      </c>
      <c r="D517" s="3" t="s">
        <v>260</v>
      </c>
      <c r="E517" s="3"/>
      <c r="F517" s="3"/>
      <c r="G517" s="6"/>
      <c r="H517" s="48">
        <f>H518+H529+H525</f>
        <v>32022.7</v>
      </c>
      <c r="I517" s="48">
        <f>I518+I529+I525</f>
        <v>1278.3</v>
      </c>
      <c r="J517" s="48">
        <f>J518+J529+J525</f>
        <v>32022.7</v>
      </c>
      <c r="K517" s="48">
        <f>K518+K529+K525</f>
        <v>1278.3</v>
      </c>
      <c r="L517" s="63">
        <f>J517/H517*100</f>
        <v>100</v>
      </c>
    </row>
    <row r="518" spans="1:12" ht="14.25">
      <c r="A518" s="2" t="s">
        <v>160</v>
      </c>
      <c r="B518" s="4" t="s">
        <v>340</v>
      </c>
      <c r="C518" s="4" t="s">
        <v>267</v>
      </c>
      <c r="D518" s="4" t="s">
        <v>260</v>
      </c>
      <c r="E518" s="4" t="s">
        <v>161</v>
      </c>
      <c r="F518" s="4"/>
      <c r="G518" s="6"/>
      <c r="H518" s="53">
        <f>H522+H519</f>
        <v>30744.4</v>
      </c>
      <c r="I518" s="53">
        <f>I522+I519</f>
        <v>0</v>
      </c>
      <c r="J518" s="53">
        <f>J522+J519</f>
        <v>30744.4</v>
      </c>
      <c r="K518" s="53">
        <f>K522+K519</f>
        <v>0</v>
      </c>
      <c r="L518" s="83"/>
    </row>
    <row r="519" spans="1:12" ht="28.5">
      <c r="A519" s="59" t="s">
        <v>363</v>
      </c>
      <c r="B519" s="4" t="s">
        <v>340</v>
      </c>
      <c r="C519" s="4" t="s">
        <v>267</v>
      </c>
      <c r="D519" s="4" t="s">
        <v>260</v>
      </c>
      <c r="E519" s="4" t="s">
        <v>32</v>
      </c>
      <c r="F519" s="4"/>
      <c r="G519" s="6"/>
      <c r="H519" s="53">
        <f>H520+H521</f>
        <v>569.7</v>
      </c>
      <c r="I519" s="53">
        <f>I520+I521</f>
        <v>0</v>
      </c>
      <c r="J519" s="53">
        <f>J520+J521</f>
        <v>569.7</v>
      </c>
      <c r="K519" s="53">
        <f>K520+K521</f>
        <v>0</v>
      </c>
      <c r="L519" s="83"/>
    </row>
    <row r="520" spans="1:12" ht="42.75">
      <c r="A520" s="2" t="s">
        <v>601</v>
      </c>
      <c r="B520" s="4" t="s">
        <v>340</v>
      </c>
      <c r="C520" s="4" t="s">
        <v>267</v>
      </c>
      <c r="D520" s="4" t="s">
        <v>260</v>
      </c>
      <c r="E520" s="4" t="s">
        <v>32</v>
      </c>
      <c r="F520" s="4"/>
      <c r="G520" s="6" t="s">
        <v>402</v>
      </c>
      <c r="H520" s="53">
        <v>6.6</v>
      </c>
      <c r="I520" s="53"/>
      <c r="J520" s="53">
        <v>6.6</v>
      </c>
      <c r="K520" s="53"/>
      <c r="L520" s="83"/>
    </row>
    <row r="521" spans="1:12" ht="42.75">
      <c r="A521" s="2" t="s">
        <v>35</v>
      </c>
      <c r="B521" s="4" t="s">
        <v>340</v>
      </c>
      <c r="C521" s="4" t="s">
        <v>267</v>
      </c>
      <c r="D521" s="4" t="s">
        <v>260</v>
      </c>
      <c r="E521" s="4" t="s">
        <v>32</v>
      </c>
      <c r="F521" s="4"/>
      <c r="G521" s="6" t="s">
        <v>433</v>
      </c>
      <c r="H521" s="53">
        <v>563.1</v>
      </c>
      <c r="I521" s="53"/>
      <c r="J521" s="53">
        <v>563.1</v>
      </c>
      <c r="K521" s="53"/>
      <c r="L521" s="83"/>
    </row>
    <row r="522" spans="1:12" ht="14.25">
      <c r="A522" s="2" t="s">
        <v>157</v>
      </c>
      <c r="B522" s="4" t="s">
        <v>340</v>
      </c>
      <c r="C522" s="4" t="s">
        <v>267</v>
      </c>
      <c r="D522" s="4" t="s">
        <v>260</v>
      </c>
      <c r="E522" s="4" t="s">
        <v>275</v>
      </c>
      <c r="F522" s="4"/>
      <c r="G522" s="6"/>
      <c r="H522" s="53">
        <f>H523+H524</f>
        <v>30174.7</v>
      </c>
      <c r="I522" s="53">
        <f>I523+I524</f>
        <v>0</v>
      </c>
      <c r="J522" s="53">
        <f>J523+J524</f>
        <v>30174.7</v>
      </c>
      <c r="K522" s="53">
        <f>K523+K524</f>
        <v>0</v>
      </c>
      <c r="L522" s="83"/>
    </row>
    <row r="523" spans="1:12" ht="42.75">
      <c r="A523" s="2" t="s">
        <v>429</v>
      </c>
      <c r="B523" s="4" t="s">
        <v>340</v>
      </c>
      <c r="C523" s="4" t="s">
        <v>267</v>
      </c>
      <c r="D523" s="4" t="s">
        <v>260</v>
      </c>
      <c r="E523" s="4" t="s">
        <v>275</v>
      </c>
      <c r="F523" s="4"/>
      <c r="G523" s="6" t="s">
        <v>402</v>
      </c>
      <c r="H523" s="53">
        <f>3199.1-6.6</f>
        <v>3192.5</v>
      </c>
      <c r="I523" s="53"/>
      <c r="J523" s="53">
        <v>3192.5</v>
      </c>
      <c r="K523" s="53"/>
      <c r="L523" s="83"/>
    </row>
    <row r="524" spans="1:12" ht="42.75">
      <c r="A524" s="7" t="s">
        <v>434</v>
      </c>
      <c r="B524" s="4" t="s">
        <v>340</v>
      </c>
      <c r="C524" s="4" t="s">
        <v>267</v>
      </c>
      <c r="D524" s="4" t="s">
        <v>260</v>
      </c>
      <c r="E524" s="4" t="s">
        <v>275</v>
      </c>
      <c r="F524" s="4"/>
      <c r="G524" s="6" t="s">
        <v>433</v>
      </c>
      <c r="H524" s="53">
        <f>27454.3+91-563.1</f>
        <v>26982.2</v>
      </c>
      <c r="I524" s="53"/>
      <c r="J524" s="53">
        <v>26982.2</v>
      </c>
      <c r="K524" s="53"/>
      <c r="L524" s="83"/>
    </row>
    <row r="525" spans="1:12" ht="14.25">
      <c r="A525" s="2" t="s">
        <v>220</v>
      </c>
      <c r="B525" s="4" t="s">
        <v>340</v>
      </c>
      <c r="C525" s="4" t="s">
        <v>267</v>
      </c>
      <c r="D525" s="4" t="s">
        <v>260</v>
      </c>
      <c r="E525" s="4" t="s">
        <v>200</v>
      </c>
      <c r="F525" s="4"/>
      <c r="G525" s="6"/>
      <c r="H525" s="53">
        <f aca="true" t="shared" si="40" ref="H525:K527">H526</f>
        <v>175</v>
      </c>
      <c r="I525" s="53">
        <f t="shared" si="40"/>
        <v>175</v>
      </c>
      <c r="J525" s="53">
        <f t="shared" si="40"/>
        <v>175</v>
      </c>
      <c r="K525" s="53">
        <f t="shared" si="40"/>
        <v>175</v>
      </c>
      <c r="L525" s="83"/>
    </row>
    <row r="526" spans="1:12" ht="85.5">
      <c r="A526" s="2" t="s">
        <v>59</v>
      </c>
      <c r="B526" s="4" t="s">
        <v>340</v>
      </c>
      <c r="C526" s="4" t="s">
        <v>267</v>
      </c>
      <c r="D526" s="4" t="s">
        <v>260</v>
      </c>
      <c r="E526" s="4" t="s">
        <v>58</v>
      </c>
      <c r="F526" s="4"/>
      <c r="G526" s="6"/>
      <c r="H526" s="53">
        <f t="shared" si="40"/>
        <v>175</v>
      </c>
      <c r="I526" s="53">
        <f t="shared" si="40"/>
        <v>175</v>
      </c>
      <c r="J526" s="53">
        <f t="shared" si="40"/>
        <v>175</v>
      </c>
      <c r="K526" s="53">
        <f t="shared" si="40"/>
        <v>175</v>
      </c>
      <c r="L526" s="83"/>
    </row>
    <row r="527" spans="1:12" ht="28.5">
      <c r="A527" s="2" t="s">
        <v>57</v>
      </c>
      <c r="B527" s="4" t="s">
        <v>340</v>
      </c>
      <c r="C527" s="4" t="s">
        <v>267</v>
      </c>
      <c r="D527" s="4" t="s">
        <v>260</v>
      </c>
      <c r="E527" s="4" t="s">
        <v>56</v>
      </c>
      <c r="F527" s="4"/>
      <c r="G527" s="6"/>
      <c r="H527" s="53">
        <f t="shared" si="40"/>
        <v>175</v>
      </c>
      <c r="I527" s="53">
        <f t="shared" si="40"/>
        <v>175</v>
      </c>
      <c r="J527" s="53">
        <f t="shared" si="40"/>
        <v>175</v>
      </c>
      <c r="K527" s="53">
        <f t="shared" si="40"/>
        <v>175</v>
      </c>
      <c r="L527" s="83"/>
    </row>
    <row r="528" spans="1:12" ht="14.25">
      <c r="A528" s="7" t="s">
        <v>428</v>
      </c>
      <c r="B528" s="4" t="s">
        <v>340</v>
      </c>
      <c r="C528" s="4" t="s">
        <v>267</v>
      </c>
      <c r="D528" s="4" t="s">
        <v>260</v>
      </c>
      <c r="E528" s="4" t="s">
        <v>56</v>
      </c>
      <c r="F528" s="4"/>
      <c r="G528" s="6" t="s">
        <v>427</v>
      </c>
      <c r="H528" s="53">
        <v>175</v>
      </c>
      <c r="I528" s="53">
        <v>175</v>
      </c>
      <c r="J528" s="53">
        <v>175</v>
      </c>
      <c r="K528" s="53">
        <v>175</v>
      </c>
      <c r="L528" s="83"/>
    </row>
    <row r="529" spans="1:12" ht="14.25">
      <c r="A529" s="7" t="s">
        <v>530</v>
      </c>
      <c r="B529" s="4" t="s">
        <v>340</v>
      </c>
      <c r="C529" s="4" t="s">
        <v>267</v>
      </c>
      <c r="D529" s="4" t="s">
        <v>260</v>
      </c>
      <c r="E529" s="4" t="s">
        <v>528</v>
      </c>
      <c r="F529" s="4"/>
      <c r="G529" s="6"/>
      <c r="H529" s="53">
        <f>H530</f>
        <v>1103.3</v>
      </c>
      <c r="I529" s="53">
        <f aca="true" t="shared" si="41" ref="I529:K530">I530</f>
        <v>1103.3</v>
      </c>
      <c r="J529" s="53">
        <f t="shared" si="41"/>
        <v>1103.3</v>
      </c>
      <c r="K529" s="53">
        <f t="shared" si="41"/>
        <v>1103.3</v>
      </c>
      <c r="L529" s="83"/>
    </row>
    <row r="530" spans="1:12" ht="42.75">
      <c r="A530" s="7" t="s">
        <v>118</v>
      </c>
      <c r="B530" s="4" t="s">
        <v>340</v>
      </c>
      <c r="C530" s="4" t="s">
        <v>267</v>
      </c>
      <c r="D530" s="4" t="s">
        <v>260</v>
      </c>
      <c r="E530" s="4" t="s">
        <v>115</v>
      </c>
      <c r="F530" s="4"/>
      <c r="G530" s="6"/>
      <c r="H530" s="53">
        <f>H531</f>
        <v>1103.3</v>
      </c>
      <c r="I530" s="53">
        <f t="shared" si="41"/>
        <v>1103.3</v>
      </c>
      <c r="J530" s="53">
        <f t="shared" si="41"/>
        <v>1103.3</v>
      </c>
      <c r="K530" s="53">
        <f t="shared" si="41"/>
        <v>1103.3</v>
      </c>
      <c r="L530" s="83"/>
    </row>
    <row r="531" spans="1:12" ht="71.25" customHeight="1">
      <c r="A531" s="7" t="s">
        <v>117</v>
      </c>
      <c r="B531" s="4" t="s">
        <v>340</v>
      </c>
      <c r="C531" s="4" t="s">
        <v>267</v>
      </c>
      <c r="D531" s="4" t="s">
        <v>260</v>
      </c>
      <c r="E531" s="4" t="s">
        <v>116</v>
      </c>
      <c r="F531" s="4"/>
      <c r="G531" s="6"/>
      <c r="H531" s="53">
        <f>H532+H533</f>
        <v>1103.3</v>
      </c>
      <c r="I531" s="53">
        <f>I532+I533</f>
        <v>1103.3</v>
      </c>
      <c r="J531" s="53">
        <f>J532+J533</f>
        <v>1103.3</v>
      </c>
      <c r="K531" s="53">
        <f>K532+K533</f>
        <v>1103.3</v>
      </c>
      <c r="L531" s="83"/>
    </row>
    <row r="532" spans="1:12" ht="42.75">
      <c r="A532" s="2" t="s">
        <v>429</v>
      </c>
      <c r="B532" s="4" t="s">
        <v>340</v>
      </c>
      <c r="C532" s="4" t="s">
        <v>267</v>
      </c>
      <c r="D532" s="4" t="s">
        <v>260</v>
      </c>
      <c r="E532" s="4" t="s">
        <v>116</v>
      </c>
      <c r="F532" s="4"/>
      <c r="G532" s="6" t="s">
        <v>402</v>
      </c>
      <c r="H532" s="53">
        <v>61</v>
      </c>
      <c r="I532" s="53">
        <v>61</v>
      </c>
      <c r="J532" s="53">
        <v>61</v>
      </c>
      <c r="K532" s="53">
        <v>61</v>
      </c>
      <c r="L532" s="83"/>
    </row>
    <row r="533" spans="1:12" ht="42.75">
      <c r="A533" s="7" t="s">
        <v>434</v>
      </c>
      <c r="B533" s="4" t="s">
        <v>340</v>
      </c>
      <c r="C533" s="4" t="s">
        <v>267</v>
      </c>
      <c r="D533" s="4" t="s">
        <v>260</v>
      </c>
      <c r="E533" s="4" t="s">
        <v>116</v>
      </c>
      <c r="F533" s="4"/>
      <c r="G533" s="6" t="s">
        <v>433</v>
      </c>
      <c r="H533" s="53">
        <v>1042.3</v>
      </c>
      <c r="I533" s="53">
        <v>1042.3</v>
      </c>
      <c r="J533" s="53">
        <v>1042.3</v>
      </c>
      <c r="K533" s="53">
        <v>1042.3</v>
      </c>
      <c r="L533" s="83"/>
    </row>
    <row r="534" spans="1:12" ht="15">
      <c r="A534" s="47" t="s">
        <v>159</v>
      </c>
      <c r="B534" s="3" t="s">
        <v>340</v>
      </c>
      <c r="C534" s="3" t="s">
        <v>267</v>
      </c>
      <c r="D534" s="3" t="s">
        <v>267</v>
      </c>
      <c r="E534" s="3"/>
      <c r="F534" s="3"/>
      <c r="G534" s="5"/>
      <c r="H534" s="48">
        <f>H535+H553+H547+H543</f>
        <v>10563.9</v>
      </c>
      <c r="I534" s="48">
        <f>I535+I553+I547+I543</f>
        <v>4260.4</v>
      </c>
      <c r="J534" s="48">
        <f>J535+J553+J547+J543</f>
        <v>10342.900000000001</v>
      </c>
      <c r="K534" s="48">
        <f>K535+K553+K547+K543</f>
        <v>4258.6</v>
      </c>
      <c r="L534" s="63">
        <f>J534/H534*100</f>
        <v>97.90796959456263</v>
      </c>
    </row>
    <row r="535" spans="1:12" ht="15">
      <c r="A535" s="47" t="s">
        <v>198</v>
      </c>
      <c r="B535" s="3" t="s">
        <v>340</v>
      </c>
      <c r="C535" s="3" t="s">
        <v>267</v>
      </c>
      <c r="D535" s="3" t="s">
        <v>267</v>
      </c>
      <c r="E535" s="3" t="s">
        <v>199</v>
      </c>
      <c r="F535" s="3"/>
      <c r="G535" s="6"/>
      <c r="H535" s="48">
        <f>H540+H538+H536</f>
        <v>4354.400000000001</v>
      </c>
      <c r="I535" s="48">
        <f>I540+I538+I536</f>
        <v>0</v>
      </c>
      <c r="J535" s="48">
        <f>J540+J538+J536</f>
        <v>4151.700000000001</v>
      </c>
      <c r="K535" s="48">
        <f>K540+K538+K536</f>
        <v>0</v>
      </c>
      <c r="L535" s="63">
        <f>J535/H535*100</f>
        <v>95.34493845305899</v>
      </c>
    </row>
    <row r="536" spans="1:12" ht="15">
      <c r="A536" s="2" t="s">
        <v>572</v>
      </c>
      <c r="B536" s="4" t="s">
        <v>340</v>
      </c>
      <c r="C536" s="4" t="s">
        <v>267</v>
      </c>
      <c r="D536" s="4" t="s">
        <v>267</v>
      </c>
      <c r="E536" s="4" t="s">
        <v>571</v>
      </c>
      <c r="F536" s="3"/>
      <c r="G536" s="6"/>
      <c r="H536" s="53">
        <f>H537</f>
        <v>142.5</v>
      </c>
      <c r="I536" s="53">
        <f>I537</f>
        <v>0</v>
      </c>
      <c r="J536" s="53">
        <f>J537</f>
        <v>112</v>
      </c>
      <c r="K536" s="53">
        <f>K537</f>
        <v>0</v>
      </c>
      <c r="L536" s="83"/>
    </row>
    <row r="537" spans="1:12" ht="29.25">
      <c r="A537" s="2" t="s">
        <v>431</v>
      </c>
      <c r="B537" s="4" t="s">
        <v>340</v>
      </c>
      <c r="C537" s="4" t="s">
        <v>267</v>
      </c>
      <c r="D537" s="4" t="s">
        <v>267</v>
      </c>
      <c r="E537" s="4" t="s">
        <v>571</v>
      </c>
      <c r="F537" s="3"/>
      <c r="G537" s="6" t="s">
        <v>421</v>
      </c>
      <c r="H537" s="53">
        <v>142.5</v>
      </c>
      <c r="I537" s="48"/>
      <c r="J537" s="53">
        <v>112</v>
      </c>
      <c r="K537" s="53"/>
      <c r="L537" s="83"/>
    </row>
    <row r="538" spans="1:12" ht="29.25">
      <c r="A538" s="59" t="s">
        <v>363</v>
      </c>
      <c r="B538" s="4" t="s">
        <v>340</v>
      </c>
      <c r="C538" s="4" t="s">
        <v>267</v>
      </c>
      <c r="D538" s="4" t="s">
        <v>267</v>
      </c>
      <c r="E538" s="4" t="s">
        <v>33</v>
      </c>
      <c r="F538" s="3"/>
      <c r="G538" s="6"/>
      <c r="H538" s="53">
        <f>H539</f>
        <v>28.3</v>
      </c>
      <c r="I538" s="53">
        <f>I539</f>
        <v>0</v>
      </c>
      <c r="J538" s="53">
        <f>J539</f>
        <v>28.3</v>
      </c>
      <c r="K538" s="53">
        <f>K539</f>
        <v>0</v>
      </c>
      <c r="L538" s="83"/>
    </row>
    <row r="539" spans="1:12" ht="43.5">
      <c r="A539" s="2" t="s">
        <v>601</v>
      </c>
      <c r="B539" s="4" t="s">
        <v>340</v>
      </c>
      <c r="C539" s="4" t="s">
        <v>267</v>
      </c>
      <c r="D539" s="4" t="s">
        <v>267</v>
      </c>
      <c r="E539" s="4" t="s">
        <v>33</v>
      </c>
      <c r="F539" s="3"/>
      <c r="G539" s="6" t="s">
        <v>402</v>
      </c>
      <c r="H539" s="53">
        <f>27.3+1</f>
        <v>28.3</v>
      </c>
      <c r="I539" s="48"/>
      <c r="J539" s="53">
        <v>28.3</v>
      </c>
      <c r="K539" s="53"/>
      <c r="L539" s="83"/>
    </row>
    <row r="540" spans="1:12" ht="14.25">
      <c r="A540" s="2" t="s">
        <v>157</v>
      </c>
      <c r="B540" s="4" t="s">
        <v>340</v>
      </c>
      <c r="C540" s="4" t="s">
        <v>267</v>
      </c>
      <c r="D540" s="4" t="s">
        <v>267</v>
      </c>
      <c r="E540" s="4" t="s">
        <v>317</v>
      </c>
      <c r="F540" s="4"/>
      <c r="G540" s="6"/>
      <c r="H540" s="53">
        <f>H541+H542</f>
        <v>4183.6</v>
      </c>
      <c r="I540" s="53">
        <f>I541+I542</f>
        <v>0</v>
      </c>
      <c r="J540" s="53">
        <f>J541+J542</f>
        <v>4011.4</v>
      </c>
      <c r="K540" s="53">
        <f>K541+K542</f>
        <v>0</v>
      </c>
      <c r="L540" s="83"/>
    </row>
    <row r="541" spans="1:12" ht="42.75">
      <c r="A541" s="2" t="s">
        <v>429</v>
      </c>
      <c r="B541" s="4" t="s">
        <v>340</v>
      </c>
      <c r="C541" s="4" t="s">
        <v>267</v>
      </c>
      <c r="D541" s="4" t="s">
        <v>267</v>
      </c>
      <c r="E541" s="4" t="s">
        <v>317</v>
      </c>
      <c r="F541" s="4"/>
      <c r="G541" s="6" t="s">
        <v>402</v>
      </c>
      <c r="H541" s="53">
        <v>4183.6</v>
      </c>
      <c r="I541" s="53"/>
      <c r="J541" s="53">
        <v>4011.4</v>
      </c>
      <c r="K541" s="53"/>
      <c r="L541" s="83"/>
    </row>
    <row r="542" spans="1:12" ht="14.25" hidden="1">
      <c r="A542" s="7"/>
      <c r="B542" s="4"/>
      <c r="C542" s="4"/>
      <c r="D542" s="4"/>
      <c r="E542" s="4"/>
      <c r="F542" s="4"/>
      <c r="G542" s="6"/>
      <c r="H542" s="53"/>
      <c r="I542" s="53"/>
      <c r="J542" s="53"/>
      <c r="K542" s="53"/>
      <c r="L542" s="83"/>
    </row>
    <row r="543" spans="1:12" ht="21" customHeight="1">
      <c r="A543" s="2" t="s">
        <v>220</v>
      </c>
      <c r="B543" s="4" t="s">
        <v>340</v>
      </c>
      <c r="C543" s="4" t="s">
        <v>267</v>
      </c>
      <c r="D543" s="4" t="s">
        <v>267</v>
      </c>
      <c r="E543" s="4" t="s">
        <v>200</v>
      </c>
      <c r="F543" s="4"/>
      <c r="G543" s="6"/>
      <c r="H543" s="53">
        <f aca="true" t="shared" si="42" ref="H543:K545">H544</f>
        <v>100</v>
      </c>
      <c r="I543" s="53">
        <f t="shared" si="42"/>
        <v>100</v>
      </c>
      <c r="J543" s="53">
        <f t="shared" si="42"/>
        <v>100</v>
      </c>
      <c r="K543" s="53">
        <f t="shared" si="42"/>
        <v>100</v>
      </c>
      <c r="L543" s="83"/>
    </row>
    <row r="544" spans="1:12" ht="85.5">
      <c r="A544" s="2" t="s">
        <v>59</v>
      </c>
      <c r="B544" s="4" t="s">
        <v>340</v>
      </c>
      <c r="C544" s="4" t="s">
        <v>267</v>
      </c>
      <c r="D544" s="4" t="s">
        <v>267</v>
      </c>
      <c r="E544" s="4" t="s">
        <v>58</v>
      </c>
      <c r="F544" s="4"/>
      <c r="G544" s="6"/>
      <c r="H544" s="53">
        <f t="shared" si="42"/>
        <v>100</v>
      </c>
      <c r="I544" s="53">
        <f t="shared" si="42"/>
        <v>100</v>
      </c>
      <c r="J544" s="53">
        <f t="shared" si="42"/>
        <v>100</v>
      </c>
      <c r="K544" s="53">
        <f t="shared" si="42"/>
        <v>100</v>
      </c>
      <c r="L544" s="83"/>
    </row>
    <row r="545" spans="1:12" ht="28.5">
      <c r="A545" s="2" t="s">
        <v>57</v>
      </c>
      <c r="B545" s="4" t="s">
        <v>340</v>
      </c>
      <c r="C545" s="4" t="s">
        <v>267</v>
      </c>
      <c r="D545" s="4" t="s">
        <v>267</v>
      </c>
      <c r="E545" s="4" t="s">
        <v>56</v>
      </c>
      <c r="F545" s="4"/>
      <c r="G545" s="6"/>
      <c r="H545" s="53">
        <f t="shared" si="42"/>
        <v>100</v>
      </c>
      <c r="I545" s="53">
        <f t="shared" si="42"/>
        <v>100</v>
      </c>
      <c r="J545" s="53">
        <f t="shared" si="42"/>
        <v>100</v>
      </c>
      <c r="K545" s="53">
        <f t="shared" si="42"/>
        <v>100</v>
      </c>
      <c r="L545" s="83"/>
    </row>
    <row r="546" spans="1:12" ht="14.25">
      <c r="A546" s="7" t="s">
        <v>399</v>
      </c>
      <c r="B546" s="4" t="s">
        <v>340</v>
      </c>
      <c r="C546" s="4" t="s">
        <v>267</v>
      </c>
      <c r="D546" s="4" t="s">
        <v>267</v>
      </c>
      <c r="E546" s="4" t="s">
        <v>56</v>
      </c>
      <c r="F546" s="4"/>
      <c r="G546" s="6" t="s">
        <v>398</v>
      </c>
      <c r="H546" s="53">
        <v>100</v>
      </c>
      <c r="I546" s="53">
        <v>100</v>
      </c>
      <c r="J546" s="53">
        <v>100</v>
      </c>
      <c r="K546" s="53">
        <v>100</v>
      </c>
      <c r="L546" s="83"/>
    </row>
    <row r="547" spans="1:12" ht="14.25">
      <c r="A547" s="2" t="s">
        <v>530</v>
      </c>
      <c r="B547" s="4" t="s">
        <v>340</v>
      </c>
      <c r="C547" s="4" t="s">
        <v>267</v>
      </c>
      <c r="D547" s="4" t="s">
        <v>267</v>
      </c>
      <c r="E547" s="4" t="s">
        <v>528</v>
      </c>
      <c r="F547" s="4"/>
      <c r="G547" s="6"/>
      <c r="H547" s="53">
        <f>H550+H548</f>
        <v>4160.4</v>
      </c>
      <c r="I547" s="53">
        <f>I550+I548</f>
        <v>4160.4</v>
      </c>
      <c r="J547" s="53">
        <f>J550+J548</f>
        <v>4158.6</v>
      </c>
      <c r="K547" s="53">
        <f>K550+K548</f>
        <v>4158.6</v>
      </c>
      <c r="L547" s="83"/>
    </row>
    <row r="548" spans="1:12" ht="28.5">
      <c r="A548" s="2" t="s">
        <v>310</v>
      </c>
      <c r="B548" s="4" t="s">
        <v>340</v>
      </c>
      <c r="C548" s="4" t="s">
        <v>267</v>
      </c>
      <c r="D548" s="4" t="s">
        <v>267</v>
      </c>
      <c r="E548" s="4" t="s">
        <v>311</v>
      </c>
      <c r="F548" s="4"/>
      <c r="G548" s="6"/>
      <c r="H548" s="53">
        <f>H549</f>
        <v>3056</v>
      </c>
      <c r="I548" s="53">
        <f>I549</f>
        <v>3056</v>
      </c>
      <c r="J548" s="53">
        <f>J549</f>
        <v>3056</v>
      </c>
      <c r="K548" s="53">
        <f>K549</f>
        <v>3056</v>
      </c>
      <c r="L548" s="83"/>
    </row>
    <row r="549" spans="1:12" ht="42.75">
      <c r="A549" s="2" t="s">
        <v>429</v>
      </c>
      <c r="B549" s="4" t="s">
        <v>340</v>
      </c>
      <c r="C549" s="4" t="s">
        <v>267</v>
      </c>
      <c r="D549" s="4" t="s">
        <v>267</v>
      </c>
      <c r="E549" s="4" t="s">
        <v>311</v>
      </c>
      <c r="F549" s="4"/>
      <c r="G549" s="6" t="s">
        <v>402</v>
      </c>
      <c r="H549" s="53">
        <v>3056</v>
      </c>
      <c r="I549" s="53">
        <f>H549</f>
        <v>3056</v>
      </c>
      <c r="J549" s="53">
        <v>3056</v>
      </c>
      <c r="K549" s="53">
        <v>3056</v>
      </c>
      <c r="L549" s="83"/>
    </row>
    <row r="550" spans="1:12" ht="42.75">
      <c r="A550" s="2" t="s">
        <v>60</v>
      </c>
      <c r="B550" s="4" t="s">
        <v>340</v>
      </c>
      <c r="C550" s="4" t="s">
        <v>267</v>
      </c>
      <c r="D550" s="4" t="s">
        <v>267</v>
      </c>
      <c r="E550" s="4" t="s">
        <v>46</v>
      </c>
      <c r="F550" s="4"/>
      <c r="G550" s="6"/>
      <c r="H550" s="53">
        <f>H552+H551</f>
        <v>1104.4</v>
      </c>
      <c r="I550" s="53">
        <f>I552+I551</f>
        <v>1104.4</v>
      </c>
      <c r="J550" s="53">
        <f>J552+J551</f>
        <v>1102.6</v>
      </c>
      <c r="K550" s="53">
        <f>K552+K551</f>
        <v>1102.6</v>
      </c>
      <c r="L550" s="83"/>
    </row>
    <row r="551" spans="1:12" ht="25.5" customHeight="1">
      <c r="A551" s="2" t="s">
        <v>431</v>
      </c>
      <c r="B551" s="4" t="s">
        <v>340</v>
      </c>
      <c r="C551" s="4" t="s">
        <v>267</v>
      </c>
      <c r="D551" s="4" t="s">
        <v>267</v>
      </c>
      <c r="E551" s="4" t="s">
        <v>46</v>
      </c>
      <c r="F551" s="4"/>
      <c r="G551" s="6" t="s">
        <v>421</v>
      </c>
      <c r="H551" s="53">
        <f>49</f>
        <v>49</v>
      </c>
      <c r="I551" s="53">
        <f>H551</f>
        <v>49</v>
      </c>
      <c r="J551" s="53">
        <v>49</v>
      </c>
      <c r="K551" s="53">
        <v>49</v>
      </c>
      <c r="L551" s="83"/>
    </row>
    <row r="552" spans="1:12" ht="14.25">
      <c r="A552" s="7" t="s">
        <v>399</v>
      </c>
      <c r="B552" s="4" t="s">
        <v>340</v>
      </c>
      <c r="C552" s="4" t="s">
        <v>267</v>
      </c>
      <c r="D552" s="4" t="s">
        <v>267</v>
      </c>
      <c r="E552" s="4" t="s">
        <v>47</v>
      </c>
      <c r="F552" s="4"/>
      <c r="G552" s="6" t="s">
        <v>398</v>
      </c>
      <c r="H552" s="53">
        <f>1104.4-49</f>
        <v>1055.4</v>
      </c>
      <c r="I552" s="53">
        <f>1104.4-49</f>
        <v>1055.4</v>
      </c>
      <c r="J552" s="53">
        <v>1053.6</v>
      </c>
      <c r="K552" s="53">
        <v>1053.6</v>
      </c>
      <c r="L552" s="83"/>
    </row>
    <row r="553" spans="1:12" ht="15">
      <c r="A553" s="47" t="s">
        <v>223</v>
      </c>
      <c r="B553" s="4" t="s">
        <v>340</v>
      </c>
      <c r="C553" s="3" t="s">
        <v>267</v>
      </c>
      <c r="D553" s="3" t="s">
        <v>267</v>
      </c>
      <c r="E553" s="3" t="s">
        <v>224</v>
      </c>
      <c r="F553" s="3"/>
      <c r="G553" s="6"/>
      <c r="H553" s="48">
        <f>H554+H556</f>
        <v>1949.1</v>
      </c>
      <c r="I553" s="48">
        <f>I554+I556</f>
        <v>0</v>
      </c>
      <c r="J553" s="48">
        <f>J554+J556</f>
        <v>1932.6</v>
      </c>
      <c r="K553" s="48">
        <f>K554+K556</f>
        <v>0</v>
      </c>
      <c r="L553" s="63">
        <f>J553/H553*100</f>
        <v>99.15345544097276</v>
      </c>
    </row>
    <row r="554" spans="1:12" ht="28.5">
      <c r="A554" s="57" t="s">
        <v>351</v>
      </c>
      <c r="B554" s="4" t="s">
        <v>340</v>
      </c>
      <c r="C554" s="4" t="s">
        <v>267</v>
      </c>
      <c r="D554" s="4" t="s">
        <v>267</v>
      </c>
      <c r="E554" s="4" t="s">
        <v>376</v>
      </c>
      <c r="F554" s="4"/>
      <c r="G554" s="6"/>
      <c r="H554" s="53">
        <f>H555</f>
        <v>1449.1</v>
      </c>
      <c r="I554" s="53">
        <f>I555</f>
        <v>0</v>
      </c>
      <c r="J554" s="53">
        <f>J555</f>
        <v>1432.6</v>
      </c>
      <c r="K554" s="53">
        <f>K555</f>
        <v>0</v>
      </c>
      <c r="L554" s="83"/>
    </row>
    <row r="555" spans="1:12" ht="14.25">
      <c r="A555" s="7" t="s">
        <v>399</v>
      </c>
      <c r="B555" s="4" t="s">
        <v>340</v>
      </c>
      <c r="C555" s="4" t="s">
        <v>267</v>
      </c>
      <c r="D555" s="4" t="s">
        <v>267</v>
      </c>
      <c r="E555" s="4" t="s">
        <v>376</v>
      </c>
      <c r="F555" s="4"/>
      <c r="G555" s="6" t="s">
        <v>398</v>
      </c>
      <c r="H555" s="53">
        <f>1002.3+726.9-280.1</f>
        <v>1449.1</v>
      </c>
      <c r="I555" s="53"/>
      <c r="J555" s="53">
        <v>1432.6</v>
      </c>
      <c r="K555" s="53"/>
      <c r="L555" s="83"/>
    </row>
    <row r="556" spans="1:12" ht="28.5">
      <c r="A556" s="2" t="s">
        <v>479</v>
      </c>
      <c r="B556" s="4" t="s">
        <v>340</v>
      </c>
      <c r="C556" s="4" t="s">
        <v>267</v>
      </c>
      <c r="D556" s="4" t="s">
        <v>267</v>
      </c>
      <c r="E556" s="4" t="s">
        <v>377</v>
      </c>
      <c r="F556" s="4"/>
      <c r="G556" s="6"/>
      <c r="H556" s="53">
        <f>H557+H558</f>
        <v>500</v>
      </c>
      <c r="I556" s="53">
        <f>I557+I558</f>
        <v>0</v>
      </c>
      <c r="J556" s="53">
        <f>J557+J558</f>
        <v>500</v>
      </c>
      <c r="K556" s="53">
        <f>K557+K558</f>
        <v>0</v>
      </c>
      <c r="L556" s="83"/>
    </row>
    <row r="557" spans="1:12" ht="28.5">
      <c r="A557" s="2" t="s">
        <v>431</v>
      </c>
      <c r="B557" s="4" t="s">
        <v>340</v>
      </c>
      <c r="C557" s="4" t="s">
        <v>267</v>
      </c>
      <c r="D557" s="4" t="s">
        <v>267</v>
      </c>
      <c r="E557" s="4" t="s">
        <v>377</v>
      </c>
      <c r="F557" s="4"/>
      <c r="G557" s="6" t="s">
        <v>421</v>
      </c>
      <c r="H557" s="53">
        <f>500-410-90</f>
        <v>0</v>
      </c>
      <c r="I557" s="53">
        <f>500-410-90</f>
        <v>0</v>
      </c>
      <c r="J557" s="53">
        <f>500-410-90</f>
        <v>0</v>
      </c>
      <c r="K557" s="53">
        <f>500-410-90</f>
        <v>0</v>
      </c>
      <c r="L557" s="83"/>
    </row>
    <row r="558" spans="1:12" ht="14.25">
      <c r="A558" s="7" t="s">
        <v>399</v>
      </c>
      <c r="B558" s="4" t="s">
        <v>340</v>
      </c>
      <c r="C558" s="4" t="s">
        <v>267</v>
      </c>
      <c r="D558" s="4" t="s">
        <v>267</v>
      </c>
      <c r="E558" s="4" t="s">
        <v>377</v>
      </c>
      <c r="F558" s="4"/>
      <c r="G558" s="6" t="s">
        <v>398</v>
      </c>
      <c r="H558" s="53">
        <f>410+90</f>
        <v>500</v>
      </c>
      <c r="I558" s="53"/>
      <c r="J558" s="53">
        <v>500</v>
      </c>
      <c r="K558" s="53"/>
      <c r="L558" s="83"/>
    </row>
    <row r="559" spans="1:12" ht="15">
      <c r="A559" s="47" t="s">
        <v>355</v>
      </c>
      <c r="B559" s="3" t="s">
        <v>340</v>
      </c>
      <c r="C559" s="3" t="s">
        <v>268</v>
      </c>
      <c r="D559" s="3"/>
      <c r="E559" s="3"/>
      <c r="F559" s="3"/>
      <c r="G559" s="5"/>
      <c r="H559" s="48">
        <f>H560+H598</f>
        <v>102047.4</v>
      </c>
      <c r="I559" s="48">
        <f>I560+I598</f>
        <v>1751.7</v>
      </c>
      <c r="J559" s="48">
        <f>J560+J598</f>
        <v>101622.10000000002</v>
      </c>
      <c r="K559" s="48">
        <f>K560+K598</f>
        <v>1750.2</v>
      </c>
      <c r="L559" s="63">
        <f>J559/H559*100</f>
        <v>99.58323288981397</v>
      </c>
    </row>
    <row r="560" spans="1:12" ht="15">
      <c r="A560" s="47" t="s">
        <v>163</v>
      </c>
      <c r="B560" s="3" t="s">
        <v>340</v>
      </c>
      <c r="C560" s="3" t="s">
        <v>268</v>
      </c>
      <c r="D560" s="3" t="s">
        <v>259</v>
      </c>
      <c r="E560" s="3"/>
      <c r="F560" s="3"/>
      <c r="G560" s="6"/>
      <c r="H560" s="48">
        <f>H561+H570+H575+H581+H590+H595+H586</f>
        <v>71360.59999999999</v>
      </c>
      <c r="I560" s="48">
        <f>I561+I570+I575+I581+I590+I595+I586</f>
        <v>1751.7</v>
      </c>
      <c r="J560" s="48">
        <f>J561+J570+J575+J581+J590+J595+J586</f>
        <v>71013.00000000001</v>
      </c>
      <c r="K560" s="48">
        <f>K561+K570+K575+K581+K590+K595+K586</f>
        <v>1750.2</v>
      </c>
      <c r="L560" s="63">
        <f>J560/H560*100</f>
        <v>99.51289647228305</v>
      </c>
    </row>
    <row r="561" spans="1:12" ht="28.5">
      <c r="A561" s="2" t="s">
        <v>218</v>
      </c>
      <c r="B561" s="4" t="s">
        <v>340</v>
      </c>
      <c r="C561" s="4" t="s">
        <v>268</v>
      </c>
      <c r="D561" s="4" t="s">
        <v>259</v>
      </c>
      <c r="E561" s="4" t="s">
        <v>164</v>
      </c>
      <c r="F561" s="4"/>
      <c r="G561" s="6"/>
      <c r="H561" s="53">
        <f>H565+H562</f>
        <v>42185.200000000004</v>
      </c>
      <c r="I561" s="53">
        <f>I565+I562</f>
        <v>0</v>
      </c>
      <c r="J561" s="53">
        <f>J565+J562</f>
        <v>41953.00000000001</v>
      </c>
      <c r="K561" s="53">
        <f>K565+K562</f>
        <v>0</v>
      </c>
      <c r="L561" s="83"/>
    </row>
    <row r="562" spans="1:12" ht="28.5">
      <c r="A562" s="59" t="s">
        <v>363</v>
      </c>
      <c r="B562" s="4" t="s">
        <v>340</v>
      </c>
      <c r="C562" s="4" t="s">
        <v>268</v>
      </c>
      <c r="D562" s="4" t="s">
        <v>259</v>
      </c>
      <c r="E562" s="4" t="s">
        <v>34</v>
      </c>
      <c r="F562" s="4"/>
      <c r="G562" s="6"/>
      <c r="H562" s="53">
        <f>H563+H564</f>
        <v>2956.6</v>
      </c>
      <c r="I562" s="53">
        <f>I563+I564</f>
        <v>0</v>
      </c>
      <c r="J562" s="53">
        <f>J563+J564</f>
        <v>2724.4</v>
      </c>
      <c r="K562" s="53">
        <f>K563+K564</f>
        <v>0</v>
      </c>
      <c r="L562" s="83"/>
    </row>
    <row r="563" spans="1:12" ht="42.75">
      <c r="A563" s="2" t="s">
        <v>601</v>
      </c>
      <c r="B563" s="4" t="s">
        <v>340</v>
      </c>
      <c r="C563" s="4" t="s">
        <v>268</v>
      </c>
      <c r="D563" s="4" t="s">
        <v>259</v>
      </c>
      <c r="E563" s="4" t="s">
        <v>34</v>
      </c>
      <c r="F563" s="4"/>
      <c r="G563" s="6" t="s">
        <v>402</v>
      </c>
      <c r="H563" s="53">
        <f>1008.1+302+900-133.9-71.6</f>
        <v>2004.6</v>
      </c>
      <c r="I563" s="53"/>
      <c r="J563" s="53">
        <v>1772.4</v>
      </c>
      <c r="K563" s="53"/>
      <c r="L563" s="83"/>
    </row>
    <row r="564" spans="1:12" ht="42.75">
      <c r="A564" s="2" t="s">
        <v>35</v>
      </c>
      <c r="B564" s="4" t="s">
        <v>340</v>
      </c>
      <c r="C564" s="4" t="s">
        <v>268</v>
      </c>
      <c r="D564" s="4" t="s">
        <v>259</v>
      </c>
      <c r="E564" s="4" t="s">
        <v>34</v>
      </c>
      <c r="F564" s="4"/>
      <c r="G564" s="6" t="s">
        <v>433</v>
      </c>
      <c r="H564" s="53">
        <v>952</v>
      </c>
      <c r="I564" s="53"/>
      <c r="J564" s="53">
        <v>952</v>
      </c>
      <c r="K564" s="53"/>
      <c r="L564" s="83"/>
    </row>
    <row r="565" spans="1:12" ht="14.25">
      <c r="A565" s="2" t="s">
        <v>157</v>
      </c>
      <c r="B565" s="4" t="s">
        <v>340</v>
      </c>
      <c r="C565" s="4" t="s">
        <v>268</v>
      </c>
      <c r="D565" s="4" t="s">
        <v>259</v>
      </c>
      <c r="E565" s="4" t="s">
        <v>278</v>
      </c>
      <c r="F565" s="4"/>
      <c r="G565" s="6"/>
      <c r="H565" s="53">
        <f>H566+H568+H567+H569</f>
        <v>39228.600000000006</v>
      </c>
      <c r="I565" s="53">
        <f>I566+I568+I567+I569</f>
        <v>0</v>
      </c>
      <c r="J565" s="53">
        <f>J566+J568+J567+J569</f>
        <v>39228.600000000006</v>
      </c>
      <c r="K565" s="53">
        <f>K566+K568+K567+K569</f>
        <v>0</v>
      </c>
      <c r="L565" s="83"/>
    </row>
    <row r="566" spans="1:12" ht="42.75">
      <c r="A566" s="2" t="s">
        <v>429</v>
      </c>
      <c r="B566" s="4" t="s">
        <v>340</v>
      </c>
      <c r="C566" s="4" t="s">
        <v>268</v>
      </c>
      <c r="D566" s="4" t="s">
        <v>259</v>
      </c>
      <c r="E566" s="4" t="s">
        <v>278</v>
      </c>
      <c r="F566" s="4"/>
      <c r="G566" s="6" t="s">
        <v>402</v>
      </c>
      <c r="H566" s="53">
        <v>16550</v>
      </c>
      <c r="I566" s="53"/>
      <c r="J566" s="53">
        <v>16550</v>
      </c>
      <c r="K566" s="53"/>
      <c r="L566" s="83"/>
    </row>
    <row r="567" spans="1:12" ht="14.25">
      <c r="A567" s="7" t="s">
        <v>399</v>
      </c>
      <c r="B567" s="4" t="s">
        <v>340</v>
      </c>
      <c r="C567" s="4" t="s">
        <v>268</v>
      </c>
      <c r="D567" s="4" t="s">
        <v>259</v>
      </c>
      <c r="E567" s="4" t="s">
        <v>278</v>
      </c>
      <c r="F567" s="4"/>
      <c r="G567" s="6" t="s">
        <v>398</v>
      </c>
      <c r="H567" s="53">
        <v>16.3</v>
      </c>
      <c r="I567" s="53"/>
      <c r="J567" s="53">
        <v>16.3</v>
      </c>
      <c r="K567" s="53"/>
      <c r="L567" s="83"/>
    </row>
    <row r="568" spans="1:12" ht="42.75">
      <c r="A568" s="7" t="s">
        <v>434</v>
      </c>
      <c r="B568" s="4" t="s">
        <v>340</v>
      </c>
      <c r="C568" s="4" t="s">
        <v>268</v>
      </c>
      <c r="D568" s="4" t="s">
        <v>259</v>
      </c>
      <c r="E568" s="4" t="s">
        <v>278</v>
      </c>
      <c r="F568" s="4"/>
      <c r="G568" s="6" t="s">
        <v>433</v>
      </c>
      <c r="H568" s="53">
        <v>22582.3</v>
      </c>
      <c r="I568" s="53"/>
      <c r="J568" s="53">
        <v>22582.3</v>
      </c>
      <c r="K568" s="53"/>
      <c r="L568" s="83"/>
    </row>
    <row r="569" spans="1:12" ht="14.25">
      <c r="A569" s="7" t="s">
        <v>428</v>
      </c>
      <c r="B569" s="4" t="s">
        <v>340</v>
      </c>
      <c r="C569" s="4" t="s">
        <v>268</v>
      </c>
      <c r="D569" s="4" t="s">
        <v>259</v>
      </c>
      <c r="E569" s="4" t="s">
        <v>278</v>
      </c>
      <c r="F569" s="4"/>
      <c r="G569" s="6" t="s">
        <v>427</v>
      </c>
      <c r="H569" s="53">
        <v>80</v>
      </c>
      <c r="I569" s="53"/>
      <c r="J569" s="53">
        <v>80</v>
      </c>
      <c r="K569" s="53"/>
      <c r="L569" s="83"/>
    </row>
    <row r="570" spans="1:12" ht="15">
      <c r="A570" s="47" t="s">
        <v>150</v>
      </c>
      <c r="B570" s="3" t="s">
        <v>340</v>
      </c>
      <c r="C570" s="3" t="s">
        <v>268</v>
      </c>
      <c r="D570" s="3" t="s">
        <v>259</v>
      </c>
      <c r="E570" s="3" t="s">
        <v>165</v>
      </c>
      <c r="F570" s="3"/>
      <c r="G570" s="6"/>
      <c r="H570" s="48">
        <f>H573+H571</f>
        <v>4268.7</v>
      </c>
      <c r="I570" s="48">
        <f>I573+I571</f>
        <v>0</v>
      </c>
      <c r="J570" s="48">
        <f>J573+J571</f>
        <v>4268.7</v>
      </c>
      <c r="K570" s="48">
        <f>K573+K571</f>
        <v>0</v>
      </c>
      <c r="L570" s="63">
        <f>J570/H570*100</f>
        <v>100</v>
      </c>
    </row>
    <row r="571" spans="1:12" ht="29.25">
      <c r="A571" s="59" t="s">
        <v>363</v>
      </c>
      <c r="B571" s="4" t="s">
        <v>340</v>
      </c>
      <c r="C571" s="4" t="s">
        <v>268</v>
      </c>
      <c r="D571" s="4" t="s">
        <v>259</v>
      </c>
      <c r="E571" s="4" t="s">
        <v>36</v>
      </c>
      <c r="F571" s="3"/>
      <c r="G571" s="6"/>
      <c r="H571" s="53">
        <f>H572</f>
        <v>25.7</v>
      </c>
      <c r="I571" s="53">
        <f>I572</f>
        <v>0</v>
      </c>
      <c r="J571" s="53">
        <f>J572</f>
        <v>25.7</v>
      </c>
      <c r="K571" s="53">
        <f>K572</f>
        <v>0</v>
      </c>
      <c r="L571" s="83"/>
    </row>
    <row r="572" spans="1:12" ht="43.5">
      <c r="A572" s="2" t="s">
        <v>601</v>
      </c>
      <c r="B572" s="4" t="s">
        <v>340</v>
      </c>
      <c r="C572" s="4" t="s">
        <v>268</v>
      </c>
      <c r="D572" s="4" t="s">
        <v>259</v>
      </c>
      <c r="E572" s="4" t="s">
        <v>36</v>
      </c>
      <c r="F572" s="3"/>
      <c r="G572" s="6" t="s">
        <v>402</v>
      </c>
      <c r="H572" s="53">
        <f>4+21.7</f>
        <v>25.7</v>
      </c>
      <c r="I572" s="48"/>
      <c r="J572" s="53">
        <v>25.7</v>
      </c>
      <c r="K572" s="53"/>
      <c r="L572" s="83"/>
    </row>
    <row r="573" spans="1:12" ht="14.25">
      <c r="A573" s="2" t="s">
        <v>157</v>
      </c>
      <c r="B573" s="4" t="s">
        <v>340</v>
      </c>
      <c r="C573" s="4" t="s">
        <v>268</v>
      </c>
      <c r="D573" s="4" t="s">
        <v>259</v>
      </c>
      <c r="E573" s="4" t="s">
        <v>279</v>
      </c>
      <c r="F573" s="4"/>
      <c r="G573" s="6"/>
      <c r="H573" s="53">
        <f>H574</f>
        <v>4243</v>
      </c>
      <c r="I573" s="53">
        <f>I574</f>
        <v>0</v>
      </c>
      <c r="J573" s="53">
        <f>J574</f>
        <v>4243</v>
      </c>
      <c r="K573" s="53">
        <f>K574</f>
        <v>0</v>
      </c>
      <c r="L573" s="83"/>
    </row>
    <row r="574" spans="1:12" ht="42.75">
      <c r="A574" s="2" t="s">
        <v>429</v>
      </c>
      <c r="B574" s="4" t="s">
        <v>340</v>
      </c>
      <c r="C574" s="4" t="s">
        <v>268</v>
      </c>
      <c r="D574" s="4" t="s">
        <v>259</v>
      </c>
      <c r="E574" s="4" t="s">
        <v>279</v>
      </c>
      <c r="F574" s="4"/>
      <c r="G574" s="6" t="s">
        <v>402</v>
      </c>
      <c r="H574" s="53">
        <v>4243</v>
      </c>
      <c r="I574" s="53"/>
      <c r="J574" s="53">
        <v>4243</v>
      </c>
      <c r="K574" s="53"/>
      <c r="L574" s="83"/>
    </row>
    <row r="575" spans="1:12" ht="15">
      <c r="A575" s="47" t="s">
        <v>151</v>
      </c>
      <c r="B575" s="3" t="s">
        <v>340</v>
      </c>
      <c r="C575" s="3" t="s">
        <v>268</v>
      </c>
      <c r="D575" s="3" t="s">
        <v>259</v>
      </c>
      <c r="E575" s="3" t="s">
        <v>166</v>
      </c>
      <c r="F575" s="3"/>
      <c r="G575" s="6"/>
      <c r="H575" s="48">
        <f>H578+H576</f>
        <v>12887.8</v>
      </c>
      <c r="I575" s="48">
        <f>I578+I576</f>
        <v>0</v>
      </c>
      <c r="J575" s="48">
        <f>J578+J576</f>
        <v>12773.9</v>
      </c>
      <c r="K575" s="48">
        <f>K578+K576</f>
        <v>0</v>
      </c>
      <c r="L575" s="63">
        <f>J575/H575*100</f>
        <v>99.116218439144</v>
      </c>
    </row>
    <row r="576" spans="1:12" ht="29.25">
      <c r="A576" s="59" t="s">
        <v>363</v>
      </c>
      <c r="B576" s="4" t="s">
        <v>340</v>
      </c>
      <c r="C576" s="4" t="s">
        <v>268</v>
      </c>
      <c r="D576" s="4" t="s">
        <v>259</v>
      </c>
      <c r="E576" s="4" t="s">
        <v>37</v>
      </c>
      <c r="F576" s="3"/>
      <c r="G576" s="6"/>
      <c r="H576" s="53">
        <f>H577</f>
        <v>11</v>
      </c>
      <c r="I576" s="53">
        <f>I577</f>
        <v>0</v>
      </c>
      <c r="J576" s="53">
        <f>J577</f>
        <v>11</v>
      </c>
      <c r="K576" s="53">
        <f>K577</f>
        <v>0</v>
      </c>
      <c r="L576" s="83"/>
    </row>
    <row r="577" spans="1:12" ht="43.5">
      <c r="A577" s="2" t="s">
        <v>601</v>
      </c>
      <c r="B577" s="4" t="s">
        <v>340</v>
      </c>
      <c r="C577" s="4" t="s">
        <v>268</v>
      </c>
      <c r="D577" s="4" t="s">
        <v>259</v>
      </c>
      <c r="E577" s="4" t="s">
        <v>37</v>
      </c>
      <c r="F577" s="3"/>
      <c r="G577" s="6" t="s">
        <v>402</v>
      </c>
      <c r="H577" s="53">
        <v>11</v>
      </c>
      <c r="I577" s="48"/>
      <c r="J577" s="53">
        <v>11</v>
      </c>
      <c r="K577" s="53"/>
      <c r="L577" s="83"/>
    </row>
    <row r="578" spans="1:12" ht="14.25">
      <c r="A578" s="2" t="s">
        <v>157</v>
      </c>
      <c r="B578" s="4" t="s">
        <v>340</v>
      </c>
      <c r="C578" s="4" t="s">
        <v>268</v>
      </c>
      <c r="D578" s="4" t="s">
        <v>259</v>
      </c>
      <c r="E578" s="4" t="s">
        <v>280</v>
      </c>
      <c r="F578" s="4"/>
      <c r="G578" s="6"/>
      <c r="H578" s="53">
        <f>H579+H580</f>
        <v>12876.8</v>
      </c>
      <c r="I578" s="53">
        <f>I579+I580</f>
        <v>0</v>
      </c>
      <c r="J578" s="53">
        <f>J579+J580</f>
        <v>12762.9</v>
      </c>
      <c r="K578" s="53">
        <f>K579+K580</f>
        <v>0</v>
      </c>
      <c r="L578" s="83"/>
    </row>
    <row r="579" spans="1:12" ht="42.75">
      <c r="A579" s="2" t="s">
        <v>429</v>
      </c>
      <c r="B579" s="4" t="s">
        <v>340</v>
      </c>
      <c r="C579" s="4" t="s">
        <v>268</v>
      </c>
      <c r="D579" s="4" t="s">
        <v>259</v>
      </c>
      <c r="E579" s="4" t="s">
        <v>280</v>
      </c>
      <c r="F579" s="4"/>
      <c r="G579" s="6" t="s">
        <v>402</v>
      </c>
      <c r="H579" s="53">
        <f>12733.8+154-11-600</f>
        <v>12276.8</v>
      </c>
      <c r="I579" s="53"/>
      <c r="J579" s="53">
        <v>12162.9</v>
      </c>
      <c r="K579" s="53"/>
      <c r="L579" s="83"/>
    </row>
    <row r="580" spans="1:12" ht="14.25">
      <c r="A580" s="7" t="s">
        <v>399</v>
      </c>
      <c r="B580" s="4" t="s">
        <v>340</v>
      </c>
      <c r="C580" s="4" t="s">
        <v>268</v>
      </c>
      <c r="D580" s="4" t="s">
        <v>259</v>
      </c>
      <c r="E580" s="4" t="s">
        <v>280</v>
      </c>
      <c r="F580" s="4"/>
      <c r="G580" s="6" t="s">
        <v>398</v>
      </c>
      <c r="H580" s="53">
        <v>600</v>
      </c>
      <c r="I580" s="53"/>
      <c r="J580" s="53">
        <v>600</v>
      </c>
      <c r="K580" s="53"/>
      <c r="L580" s="83"/>
    </row>
    <row r="581" spans="1:12" ht="30">
      <c r="A581" s="47" t="s">
        <v>215</v>
      </c>
      <c r="B581" s="3" t="s">
        <v>340</v>
      </c>
      <c r="C581" s="3" t="s">
        <v>268</v>
      </c>
      <c r="D581" s="3" t="s">
        <v>259</v>
      </c>
      <c r="E581" s="3" t="s">
        <v>167</v>
      </c>
      <c r="F581" s="3"/>
      <c r="G581" s="5"/>
      <c r="H581" s="48">
        <f>H582+H584</f>
        <v>9987.099999999999</v>
      </c>
      <c r="I581" s="48">
        <f>I582+I584</f>
        <v>0</v>
      </c>
      <c r="J581" s="48">
        <f>J582+J584</f>
        <v>9987.1</v>
      </c>
      <c r="K581" s="48">
        <f>K582+K584</f>
        <v>0</v>
      </c>
      <c r="L581" s="63">
        <f>J581/H581*100</f>
        <v>100.00000000000003</v>
      </c>
    </row>
    <row r="582" spans="1:12" ht="29.25">
      <c r="A582" s="59" t="s">
        <v>363</v>
      </c>
      <c r="B582" s="4" t="s">
        <v>340</v>
      </c>
      <c r="C582" s="4" t="s">
        <v>268</v>
      </c>
      <c r="D582" s="4" t="s">
        <v>259</v>
      </c>
      <c r="E582" s="4" t="s">
        <v>595</v>
      </c>
      <c r="F582" s="3"/>
      <c r="G582" s="6"/>
      <c r="H582" s="53">
        <f>H583</f>
        <v>100</v>
      </c>
      <c r="I582" s="53">
        <f>I583</f>
        <v>0</v>
      </c>
      <c r="J582" s="53">
        <f>J583</f>
        <v>100</v>
      </c>
      <c r="K582" s="53">
        <f>K583</f>
        <v>0</v>
      </c>
      <c r="L582" s="83"/>
    </row>
    <row r="583" spans="1:12" ht="43.5">
      <c r="A583" s="7" t="s">
        <v>596</v>
      </c>
      <c r="B583" s="4" t="s">
        <v>340</v>
      </c>
      <c r="C583" s="4" t="s">
        <v>268</v>
      </c>
      <c r="D583" s="4" t="s">
        <v>259</v>
      </c>
      <c r="E583" s="4" t="s">
        <v>595</v>
      </c>
      <c r="F583" s="3"/>
      <c r="G583" s="6" t="s">
        <v>433</v>
      </c>
      <c r="H583" s="53">
        <v>100</v>
      </c>
      <c r="I583" s="48"/>
      <c r="J583" s="53">
        <v>100</v>
      </c>
      <c r="K583" s="53"/>
      <c r="L583" s="83"/>
    </row>
    <row r="584" spans="1:12" ht="15">
      <c r="A584" s="2" t="s">
        <v>157</v>
      </c>
      <c r="B584" s="4" t="s">
        <v>340</v>
      </c>
      <c r="C584" s="4" t="s">
        <v>268</v>
      </c>
      <c r="D584" s="4" t="s">
        <v>259</v>
      </c>
      <c r="E584" s="4" t="s">
        <v>281</v>
      </c>
      <c r="F584" s="3"/>
      <c r="G584" s="6"/>
      <c r="H584" s="53">
        <f>H585</f>
        <v>9887.099999999999</v>
      </c>
      <c r="I584" s="53">
        <f>I585</f>
        <v>0</v>
      </c>
      <c r="J584" s="53">
        <f>J585</f>
        <v>9887.1</v>
      </c>
      <c r="K584" s="53">
        <f>K585</f>
        <v>0</v>
      </c>
      <c r="L584" s="83"/>
    </row>
    <row r="585" spans="1:12" ht="43.5">
      <c r="A585" s="7" t="s">
        <v>434</v>
      </c>
      <c r="B585" s="4" t="s">
        <v>340</v>
      </c>
      <c r="C585" s="4" t="s">
        <v>268</v>
      </c>
      <c r="D585" s="4" t="s">
        <v>259</v>
      </c>
      <c r="E585" s="4" t="s">
        <v>281</v>
      </c>
      <c r="F585" s="3"/>
      <c r="G585" s="6" t="s">
        <v>433</v>
      </c>
      <c r="H585" s="53">
        <f>9313.8+573.3</f>
        <v>9887.099999999999</v>
      </c>
      <c r="I585" s="48"/>
      <c r="J585" s="53">
        <v>9887.1</v>
      </c>
      <c r="K585" s="53"/>
      <c r="L585" s="83"/>
    </row>
    <row r="586" spans="1:12" ht="15">
      <c r="A586" s="2" t="s">
        <v>220</v>
      </c>
      <c r="B586" s="4" t="s">
        <v>340</v>
      </c>
      <c r="C586" s="4" t="s">
        <v>268</v>
      </c>
      <c r="D586" s="4" t="s">
        <v>259</v>
      </c>
      <c r="E586" s="4" t="s">
        <v>200</v>
      </c>
      <c r="F586" s="3"/>
      <c r="G586" s="6"/>
      <c r="H586" s="53">
        <f aca="true" t="shared" si="43" ref="H586:K588">H587</f>
        <v>225</v>
      </c>
      <c r="I586" s="53">
        <f t="shared" si="43"/>
        <v>225</v>
      </c>
      <c r="J586" s="53">
        <f t="shared" si="43"/>
        <v>223.5</v>
      </c>
      <c r="K586" s="53">
        <f t="shared" si="43"/>
        <v>223.5</v>
      </c>
      <c r="L586" s="83"/>
    </row>
    <row r="587" spans="1:12" ht="86.25">
      <c r="A587" s="2" t="s">
        <v>59</v>
      </c>
      <c r="B587" s="4" t="s">
        <v>340</v>
      </c>
      <c r="C587" s="4" t="s">
        <v>268</v>
      </c>
      <c r="D587" s="4" t="s">
        <v>259</v>
      </c>
      <c r="E587" s="4" t="s">
        <v>58</v>
      </c>
      <c r="F587" s="3"/>
      <c r="G587" s="6"/>
      <c r="H587" s="53">
        <f t="shared" si="43"/>
        <v>225</v>
      </c>
      <c r="I587" s="53">
        <f t="shared" si="43"/>
        <v>225</v>
      </c>
      <c r="J587" s="53">
        <f t="shared" si="43"/>
        <v>223.5</v>
      </c>
      <c r="K587" s="53">
        <f t="shared" si="43"/>
        <v>223.5</v>
      </c>
      <c r="L587" s="83"/>
    </row>
    <row r="588" spans="1:12" ht="29.25">
      <c r="A588" s="2" t="s">
        <v>57</v>
      </c>
      <c r="B588" s="4" t="s">
        <v>340</v>
      </c>
      <c r="C588" s="4" t="s">
        <v>268</v>
      </c>
      <c r="D588" s="4" t="s">
        <v>259</v>
      </c>
      <c r="E588" s="4" t="s">
        <v>56</v>
      </c>
      <c r="F588" s="3"/>
      <c r="G588" s="6"/>
      <c r="H588" s="53">
        <f t="shared" si="43"/>
        <v>225</v>
      </c>
      <c r="I588" s="53">
        <f t="shared" si="43"/>
        <v>225</v>
      </c>
      <c r="J588" s="53">
        <f t="shared" si="43"/>
        <v>223.5</v>
      </c>
      <c r="K588" s="53">
        <f t="shared" si="43"/>
        <v>223.5</v>
      </c>
      <c r="L588" s="83"/>
    </row>
    <row r="589" spans="1:12" ht="15">
      <c r="A589" s="7" t="s">
        <v>428</v>
      </c>
      <c r="B589" s="4" t="s">
        <v>340</v>
      </c>
      <c r="C589" s="4" t="s">
        <v>268</v>
      </c>
      <c r="D589" s="4" t="s">
        <v>259</v>
      </c>
      <c r="E589" s="4" t="s">
        <v>56</v>
      </c>
      <c r="F589" s="3"/>
      <c r="G589" s="6" t="s">
        <v>427</v>
      </c>
      <c r="H589" s="53">
        <v>225</v>
      </c>
      <c r="I589" s="53">
        <v>225</v>
      </c>
      <c r="J589" s="53">
        <v>223.5</v>
      </c>
      <c r="K589" s="53">
        <v>223.5</v>
      </c>
      <c r="L589" s="83"/>
    </row>
    <row r="590" spans="1:12" ht="14.25">
      <c r="A590" s="7" t="s">
        <v>530</v>
      </c>
      <c r="B590" s="4" t="s">
        <v>340</v>
      </c>
      <c r="C590" s="4" t="s">
        <v>268</v>
      </c>
      <c r="D590" s="4" t="s">
        <v>259</v>
      </c>
      <c r="E590" s="4" t="s">
        <v>528</v>
      </c>
      <c r="F590" s="4"/>
      <c r="G590" s="6"/>
      <c r="H590" s="53">
        <f>H591</f>
        <v>1526.7</v>
      </c>
      <c r="I590" s="53">
        <f aca="true" t="shared" si="44" ref="I590:K591">I591</f>
        <v>1526.7</v>
      </c>
      <c r="J590" s="53">
        <f t="shared" si="44"/>
        <v>1526.7</v>
      </c>
      <c r="K590" s="53">
        <f t="shared" si="44"/>
        <v>1526.7</v>
      </c>
      <c r="L590" s="83"/>
    </row>
    <row r="591" spans="1:12" ht="42.75">
      <c r="A591" s="7" t="s">
        <v>118</v>
      </c>
      <c r="B591" s="4" t="s">
        <v>340</v>
      </c>
      <c r="C591" s="4" t="s">
        <v>268</v>
      </c>
      <c r="D591" s="4" t="s">
        <v>259</v>
      </c>
      <c r="E591" s="4" t="s">
        <v>115</v>
      </c>
      <c r="F591" s="4"/>
      <c r="G591" s="6"/>
      <c r="H591" s="53">
        <f>H592</f>
        <v>1526.7</v>
      </c>
      <c r="I591" s="53">
        <f t="shared" si="44"/>
        <v>1526.7</v>
      </c>
      <c r="J591" s="53">
        <f t="shared" si="44"/>
        <v>1526.7</v>
      </c>
      <c r="K591" s="53">
        <f t="shared" si="44"/>
        <v>1526.7</v>
      </c>
      <c r="L591" s="83"/>
    </row>
    <row r="592" spans="1:12" ht="57">
      <c r="A592" s="7" t="s">
        <v>117</v>
      </c>
      <c r="B592" s="4" t="s">
        <v>340</v>
      </c>
      <c r="C592" s="4" t="s">
        <v>268</v>
      </c>
      <c r="D592" s="4" t="s">
        <v>259</v>
      </c>
      <c r="E592" s="4" t="s">
        <v>116</v>
      </c>
      <c r="F592" s="4"/>
      <c r="G592" s="6"/>
      <c r="H592" s="53">
        <f>H593+H594</f>
        <v>1526.7</v>
      </c>
      <c r="I592" s="53">
        <f>I593+I594</f>
        <v>1526.7</v>
      </c>
      <c r="J592" s="53">
        <f>J593+J594</f>
        <v>1526.7</v>
      </c>
      <c r="K592" s="53">
        <f>K593+K594</f>
        <v>1526.7</v>
      </c>
      <c r="L592" s="83"/>
    </row>
    <row r="593" spans="1:12" ht="42.75">
      <c r="A593" s="2" t="s">
        <v>429</v>
      </c>
      <c r="B593" s="4" t="s">
        <v>340</v>
      </c>
      <c r="C593" s="4" t="s">
        <v>268</v>
      </c>
      <c r="D593" s="4" t="s">
        <v>259</v>
      </c>
      <c r="E593" s="4" t="s">
        <v>116</v>
      </c>
      <c r="F593" s="4"/>
      <c r="G593" s="6" t="s">
        <v>402</v>
      </c>
      <c r="H593" s="53">
        <f>196.9+199.6+468</f>
        <v>864.5</v>
      </c>
      <c r="I593" s="53">
        <f>196.9+199.6+468</f>
        <v>864.5</v>
      </c>
      <c r="J593" s="53">
        <v>864.5</v>
      </c>
      <c r="K593" s="53">
        <v>864.5</v>
      </c>
      <c r="L593" s="83"/>
    </row>
    <row r="594" spans="1:12" ht="42.75">
      <c r="A594" s="7" t="s">
        <v>434</v>
      </c>
      <c r="B594" s="4" t="s">
        <v>340</v>
      </c>
      <c r="C594" s="4" t="s">
        <v>268</v>
      </c>
      <c r="D594" s="4" t="s">
        <v>259</v>
      </c>
      <c r="E594" s="4" t="s">
        <v>116</v>
      </c>
      <c r="F594" s="4"/>
      <c r="G594" s="6" t="s">
        <v>433</v>
      </c>
      <c r="H594" s="53">
        <f>429.8+232.4</f>
        <v>662.2</v>
      </c>
      <c r="I594" s="53">
        <f>429.8+232.4</f>
        <v>662.2</v>
      </c>
      <c r="J594" s="53">
        <v>662.2</v>
      </c>
      <c r="K594" s="53">
        <v>662.2</v>
      </c>
      <c r="L594" s="83"/>
    </row>
    <row r="595" spans="1:12" ht="15">
      <c r="A595" s="47" t="s">
        <v>223</v>
      </c>
      <c r="B595" s="4" t="s">
        <v>340</v>
      </c>
      <c r="C595" s="4" t="s">
        <v>268</v>
      </c>
      <c r="D595" s="4" t="s">
        <v>259</v>
      </c>
      <c r="E595" s="4" t="s">
        <v>224</v>
      </c>
      <c r="F595" s="3"/>
      <c r="G595" s="6"/>
      <c r="H595" s="53">
        <f>H596</f>
        <v>280.1</v>
      </c>
      <c r="I595" s="53">
        <f aca="true" t="shared" si="45" ref="I595:K596">I596</f>
        <v>0</v>
      </c>
      <c r="J595" s="53">
        <f t="shared" si="45"/>
        <v>280.1</v>
      </c>
      <c r="K595" s="53">
        <f t="shared" si="45"/>
        <v>0</v>
      </c>
      <c r="L595" s="83"/>
    </row>
    <row r="596" spans="1:12" ht="28.5">
      <c r="A596" s="57" t="s">
        <v>351</v>
      </c>
      <c r="B596" s="4" t="s">
        <v>340</v>
      </c>
      <c r="C596" s="4" t="s">
        <v>268</v>
      </c>
      <c r="D596" s="4" t="s">
        <v>259</v>
      </c>
      <c r="E596" s="4" t="s">
        <v>376</v>
      </c>
      <c r="F596" s="4"/>
      <c r="G596" s="6"/>
      <c r="H596" s="53">
        <f>H597</f>
        <v>280.1</v>
      </c>
      <c r="I596" s="53">
        <f t="shared" si="45"/>
        <v>0</v>
      </c>
      <c r="J596" s="53">
        <f t="shared" si="45"/>
        <v>280.1</v>
      </c>
      <c r="K596" s="53">
        <f t="shared" si="45"/>
        <v>0</v>
      </c>
      <c r="L596" s="83"/>
    </row>
    <row r="597" spans="1:12" ht="14.25">
      <c r="A597" s="7" t="s">
        <v>399</v>
      </c>
      <c r="B597" s="4" t="s">
        <v>340</v>
      </c>
      <c r="C597" s="4" t="s">
        <v>268</v>
      </c>
      <c r="D597" s="4" t="s">
        <v>259</v>
      </c>
      <c r="E597" s="4" t="s">
        <v>376</v>
      </c>
      <c r="F597" s="4"/>
      <c r="G597" s="6" t="s">
        <v>398</v>
      </c>
      <c r="H597" s="53">
        <v>280.1</v>
      </c>
      <c r="I597" s="53"/>
      <c r="J597" s="53">
        <v>280.1</v>
      </c>
      <c r="K597" s="53"/>
      <c r="L597" s="83"/>
    </row>
    <row r="598" spans="1:12" ht="15">
      <c r="A598" s="47" t="s">
        <v>357</v>
      </c>
      <c r="B598" s="3" t="s">
        <v>340</v>
      </c>
      <c r="C598" s="3" t="s">
        <v>268</v>
      </c>
      <c r="D598" s="3" t="s">
        <v>261</v>
      </c>
      <c r="E598" s="3"/>
      <c r="F598" s="3"/>
      <c r="G598" s="5"/>
      <c r="H598" s="48">
        <f>H599+H607+H613</f>
        <v>30686.8</v>
      </c>
      <c r="I598" s="48">
        <f>I599+I607+I613</f>
        <v>0</v>
      </c>
      <c r="J598" s="48">
        <f>J599+J607+J613</f>
        <v>30609.100000000002</v>
      </c>
      <c r="K598" s="48">
        <f>K599+K607+K613</f>
        <v>0</v>
      </c>
      <c r="L598" s="63">
        <f>J598/H598*100</f>
        <v>99.74679666827431</v>
      </c>
    </row>
    <row r="599" spans="1:12" ht="43.5">
      <c r="A599" s="2" t="s">
        <v>296</v>
      </c>
      <c r="B599" s="4" t="s">
        <v>340</v>
      </c>
      <c r="C599" s="4" t="s">
        <v>268</v>
      </c>
      <c r="D599" s="4" t="s">
        <v>261</v>
      </c>
      <c r="E599" s="4" t="s">
        <v>293</v>
      </c>
      <c r="F599" s="3"/>
      <c r="G599" s="5"/>
      <c r="H599" s="53">
        <f>H600</f>
        <v>7795.4</v>
      </c>
      <c r="I599" s="53">
        <f>I600</f>
        <v>0</v>
      </c>
      <c r="J599" s="53">
        <f>J600</f>
        <v>7779.2</v>
      </c>
      <c r="K599" s="53">
        <f>K600</f>
        <v>0</v>
      </c>
      <c r="L599" s="83"/>
    </row>
    <row r="600" spans="1:12" ht="15">
      <c r="A600" s="2" t="s">
        <v>176</v>
      </c>
      <c r="B600" s="4" t="s">
        <v>340</v>
      </c>
      <c r="C600" s="4" t="s">
        <v>268</v>
      </c>
      <c r="D600" s="4" t="s">
        <v>261</v>
      </c>
      <c r="E600" s="4" t="s">
        <v>295</v>
      </c>
      <c r="F600" s="3"/>
      <c r="G600" s="6"/>
      <c r="H600" s="53">
        <f>H601+H604</f>
        <v>7795.4</v>
      </c>
      <c r="I600" s="53">
        <f>I601+I604</f>
        <v>0</v>
      </c>
      <c r="J600" s="53">
        <f>J601+J604</f>
        <v>7779.2</v>
      </c>
      <c r="K600" s="53">
        <f>K601+K604</f>
        <v>0</v>
      </c>
      <c r="L600" s="83"/>
    </row>
    <row r="601" spans="1:12" ht="15">
      <c r="A601" s="2" t="s">
        <v>551</v>
      </c>
      <c r="B601" s="4" t="s">
        <v>340</v>
      </c>
      <c r="C601" s="4" t="s">
        <v>268</v>
      </c>
      <c r="D601" s="4" t="s">
        <v>261</v>
      </c>
      <c r="E601" s="4" t="s">
        <v>295</v>
      </c>
      <c r="F601" s="3"/>
      <c r="G601" s="6" t="s">
        <v>393</v>
      </c>
      <c r="H601" s="53">
        <f>H602+H603</f>
        <v>7599.2</v>
      </c>
      <c r="I601" s="53">
        <f>I602+I603</f>
        <v>0</v>
      </c>
      <c r="J601" s="53">
        <f>J602+J603</f>
        <v>7583</v>
      </c>
      <c r="K601" s="53">
        <f>K602+K603</f>
        <v>0</v>
      </c>
      <c r="L601" s="83"/>
    </row>
    <row r="602" spans="1:12" ht="15">
      <c r="A602" s="2" t="s">
        <v>415</v>
      </c>
      <c r="B602" s="4" t="s">
        <v>340</v>
      </c>
      <c r="C602" s="4" t="s">
        <v>268</v>
      </c>
      <c r="D602" s="4" t="s">
        <v>261</v>
      </c>
      <c r="E602" s="4" t="s">
        <v>295</v>
      </c>
      <c r="F602" s="3"/>
      <c r="G602" s="6" t="s">
        <v>414</v>
      </c>
      <c r="H602" s="53">
        <v>7599.2</v>
      </c>
      <c r="I602" s="53"/>
      <c r="J602" s="53">
        <v>7583</v>
      </c>
      <c r="K602" s="53"/>
      <c r="L602" s="83"/>
    </row>
    <row r="603" spans="1:12" ht="29.25">
      <c r="A603" s="2" t="s">
        <v>417</v>
      </c>
      <c r="B603" s="4" t="s">
        <v>340</v>
      </c>
      <c r="C603" s="4" t="s">
        <v>268</v>
      </c>
      <c r="D603" s="4" t="s">
        <v>261</v>
      </c>
      <c r="E603" s="4" t="s">
        <v>295</v>
      </c>
      <c r="F603" s="3"/>
      <c r="G603" s="6" t="s">
        <v>416</v>
      </c>
      <c r="H603" s="53">
        <f>49.8-49.8</f>
        <v>0</v>
      </c>
      <c r="I603" s="53"/>
      <c r="J603" s="53"/>
      <c r="K603" s="53"/>
      <c r="L603" s="83"/>
    </row>
    <row r="604" spans="1:12" ht="29.25">
      <c r="A604" s="2" t="s">
        <v>599</v>
      </c>
      <c r="B604" s="4" t="s">
        <v>340</v>
      </c>
      <c r="C604" s="4" t="s">
        <v>268</v>
      </c>
      <c r="D604" s="4" t="s">
        <v>261</v>
      </c>
      <c r="E604" s="4" t="s">
        <v>295</v>
      </c>
      <c r="F604" s="3"/>
      <c r="G604" s="6" t="s">
        <v>526</v>
      </c>
      <c r="H604" s="53">
        <f>H605+H606</f>
        <v>196.2</v>
      </c>
      <c r="I604" s="53">
        <f>I605+I606</f>
        <v>0</v>
      </c>
      <c r="J604" s="53">
        <f>J605+J606</f>
        <v>196.2</v>
      </c>
      <c r="K604" s="53">
        <f>K605+K606</f>
        <v>0</v>
      </c>
      <c r="L604" s="83"/>
    </row>
    <row r="605" spans="1:12" ht="29.25">
      <c r="A605" s="2" t="s">
        <v>440</v>
      </c>
      <c r="B605" s="4" t="s">
        <v>340</v>
      </c>
      <c r="C605" s="4" t="s">
        <v>268</v>
      </c>
      <c r="D605" s="4" t="s">
        <v>261</v>
      </c>
      <c r="E605" s="4" t="s">
        <v>295</v>
      </c>
      <c r="F605" s="3"/>
      <c r="G605" s="6" t="s">
        <v>437</v>
      </c>
      <c r="H605" s="53">
        <v>127.8</v>
      </c>
      <c r="I605" s="53"/>
      <c r="J605" s="53">
        <v>127.8</v>
      </c>
      <c r="K605" s="53"/>
      <c r="L605" s="83"/>
    </row>
    <row r="606" spans="1:12" ht="26.25" customHeight="1">
      <c r="A606" s="2" t="s">
        <v>431</v>
      </c>
      <c r="B606" s="4" t="s">
        <v>340</v>
      </c>
      <c r="C606" s="4" t="s">
        <v>268</v>
      </c>
      <c r="D606" s="4" t="s">
        <v>261</v>
      </c>
      <c r="E606" s="4" t="s">
        <v>295</v>
      </c>
      <c r="F606" s="3"/>
      <c r="G606" s="6" t="s">
        <v>421</v>
      </c>
      <c r="H606" s="53">
        <v>68.4</v>
      </c>
      <c r="I606" s="53"/>
      <c r="J606" s="53">
        <v>68.4</v>
      </c>
      <c r="K606" s="53"/>
      <c r="L606" s="83"/>
    </row>
    <row r="607" spans="1:12" ht="57">
      <c r="A607" s="2" t="s">
        <v>214</v>
      </c>
      <c r="B607" s="4" t="s">
        <v>340</v>
      </c>
      <c r="C607" s="4" t="s">
        <v>268</v>
      </c>
      <c r="D607" s="4" t="s">
        <v>261</v>
      </c>
      <c r="E607" s="4" t="s">
        <v>168</v>
      </c>
      <c r="F607" s="4"/>
      <c r="G607" s="6"/>
      <c r="H607" s="53">
        <f>H610+H608</f>
        <v>6992</v>
      </c>
      <c r="I607" s="53">
        <f>I610+I608</f>
        <v>0</v>
      </c>
      <c r="J607" s="53">
        <f>J610+J608</f>
        <v>6992</v>
      </c>
      <c r="K607" s="53">
        <f>K610+K608</f>
        <v>0</v>
      </c>
      <c r="L607" s="83"/>
    </row>
    <row r="608" spans="1:12" ht="28.5">
      <c r="A608" s="2" t="s">
        <v>363</v>
      </c>
      <c r="B608" s="4" t="s">
        <v>340</v>
      </c>
      <c r="C608" s="4" t="s">
        <v>268</v>
      </c>
      <c r="D608" s="4" t="s">
        <v>261</v>
      </c>
      <c r="E608" s="4" t="s">
        <v>38</v>
      </c>
      <c r="F608" s="4"/>
      <c r="G608" s="6"/>
      <c r="H608" s="53">
        <f>H609</f>
        <v>73.5</v>
      </c>
      <c r="I608" s="53">
        <f>I609</f>
        <v>0</v>
      </c>
      <c r="J608" s="53">
        <f>J609</f>
        <v>73.5</v>
      </c>
      <c r="K608" s="53">
        <f>K609</f>
        <v>0</v>
      </c>
      <c r="L608" s="83"/>
    </row>
    <row r="609" spans="1:12" ht="42.75">
      <c r="A609" s="2" t="s">
        <v>601</v>
      </c>
      <c r="B609" s="4" t="s">
        <v>340</v>
      </c>
      <c r="C609" s="4" t="s">
        <v>268</v>
      </c>
      <c r="D609" s="4" t="s">
        <v>261</v>
      </c>
      <c r="E609" s="4" t="s">
        <v>38</v>
      </c>
      <c r="F609" s="4"/>
      <c r="G609" s="6" t="s">
        <v>402</v>
      </c>
      <c r="H609" s="53">
        <v>73.5</v>
      </c>
      <c r="I609" s="53"/>
      <c r="J609" s="53">
        <v>73.5</v>
      </c>
      <c r="K609" s="53"/>
      <c r="L609" s="83"/>
    </row>
    <row r="610" spans="1:12" ht="14.25">
      <c r="A610" s="2" t="s">
        <v>157</v>
      </c>
      <c r="B610" s="4" t="s">
        <v>340</v>
      </c>
      <c r="C610" s="4" t="s">
        <v>268</v>
      </c>
      <c r="D610" s="4" t="s">
        <v>261</v>
      </c>
      <c r="E610" s="4" t="s">
        <v>276</v>
      </c>
      <c r="F610" s="4"/>
      <c r="G610" s="6"/>
      <c r="H610" s="53">
        <f>H611+H612</f>
        <v>6918.5</v>
      </c>
      <c r="I610" s="53">
        <f>I611+I612</f>
        <v>0</v>
      </c>
      <c r="J610" s="53">
        <f>J611+J612</f>
        <v>6918.5</v>
      </c>
      <c r="K610" s="53">
        <f>K611+K612</f>
        <v>0</v>
      </c>
      <c r="L610" s="83"/>
    </row>
    <row r="611" spans="1:12" ht="42.75">
      <c r="A611" s="2" t="s">
        <v>436</v>
      </c>
      <c r="B611" s="4" t="s">
        <v>340</v>
      </c>
      <c r="C611" s="4" t="s">
        <v>268</v>
      </c>
      <c r="D611" s="4" t="s">
        <v>261</v>
      </c>
      <c r="E611" s="4" t="s">
        <v>276</v>
      </c>
      <c r="F611" s="4"/>
      <c r="G611" s="6" t="s">
        <v>402</v>
      </c>
      <c r="H611" s="53">
        <f>6670+110+42-73.5+80+90</f>
        <v>6918.5</v>
      </c>
      <c r="I611" s="53"/>
      <c r="J611" s="53">
        <v>6918.5</v>
      </c>
      <c r="K611" s="53"/>
      <c r="L611" s="83"/>
    </row>
    <row r="612" spans="1:12" ht="14.25">
      <c r="A612" s="7" t="s">
        <v>399</v>
      </c>
      <c r="B612" s="4" t="s">
        <v>340</v>
      </c>
      <c r="C612" s="4" t="s">
        <v>268</v>
      </c>
      <c r="D612" s="4" t="s">
        <v>261</v>
      </c>
      <c r="E612" s="4" t="s">
        <v>276</v>
      </c>
      <c r="F612" s="4"/>
      <c r="G612" s="6" t="s">
        <v>398</v>
      </c>
      <c r="H612" s="53">
        <f>120-120</f>
        <v>0</v>
      </c>
      <c r="I612" s="53"/>
      <c r="J612" s="53"/>
      <c r="K612" s="53"/>
      <c r="L612" s="83"/>
    </row>
    <row r="613" spans="1:12" ht="15">
      <c r="A613" s="47" t="s">
        <v>223</v>
      </c>
      <c r="B613" s="4" t="s">
        <v>340</v>
      </c>
      <c r="C613" s="4" t="s">
        <v>268</v>
      </c>
      <c r="D613" s="4" t="s">
        <v>261</v>
      </c>
      <c r="E613" s="4" t="s">
        <v>224</v>
      </c>
      <c r="F613" s="4"/>
      <c r="G613" s="6"/>
      <c r="H613" s="53">
        <f>H614+H619</f>
        <v>15899.4</v>
      </c>
      <c r="I613" s="53">
        <f>I614+I619</f>
        <v>0</v>
      </c>
      <c r="J613" s="53">
        <f>J614+J619</f>
        <v>15837.900000000001</v>
      </c>
      <c r="K613" s="53">
        <f>K614+K619</f>
        <v>0</v>
      </c>
      <c r="L613" s="83"/>
    </row>
    <row r="614" spans="1:12" ht="45" customHeight="1">
      <c r="A614" s="2" t="s">
        <v>360</v>
      </c>
      <c r="B614" s="4" t="s">
        <v>340</v>
      </c>
      <c r="C614" s="4" t="s">
        <v>268</v>
      </c>
      <c r="D614" s="4" t="s">
        <v>261</v>
      </c>
      <c r="E614" s="4" t="s">
        <v>277</v>
      </c>
      <c r="F614" s="4"/>
      <c r="G614" s="6"/>
      <c r="H614" s="53">
        <f>H615+H616</f>
        <v>1710.1</v>
      </c>
      <c r="I614" s="53">
        <f>I615+I616</f>
        <v>0</v>
      </c>
      <c r="J614" s="53">
        <f>J615+J616</f>
        <v>1692.2</v>
      </c>
      <c r="K614" s="53">
        <f>K615+K616</f>
        <v>0</v>
      </c>
      <c r="L614" s="83"/>
    </row>
    <row r="615" spans="1:12" ht="35.25" customHeight="1">
      <c r="A615" s="2" t="s">
        <v>417</v>
      </c>
      <c r="B615" s="4" t="s">
        <v>340</v>
      </c>
      <c r="C615" s="4" t="s">
        <v>268</v>
      </c>
      <c r="D615" s="4" t="s">
        <v>261</v>
      </c>
      <c r="E615" s="4" t="s">
        <v>277</v>
      </c>
      <c r="F615" s="4"/>
      <c r="G615" s="6" t="s">
        <v>416</v>
      </c>
      <c r="H615" s="53">
        <f>1564.5-2.5-259.4-68.9-66.8</f>
        <v>1166.8999999999999</v>
      </c>
      <c r="I615" s="53"/>
      <c r="J615" s="53">
        <v>1166.9</v>
      </c>
      <c r="K615" s="53"/>
      <c r="L615" s="83"/>
    </row>
    <row r="616" spans="1:12" ht="35.25" customHeight="1">
      <c r="A616" s="2" t="s">
        <v>599</v>
      </c>
      <c r="B616" s="4" t="s">
        <v>340</v>
      </c>
      <c r="C616" s="4" t="s">
        <v>268</v>
      </c>
      <c r="D616" s="4" t="s">
        <v>261</v>
      </c>
      <c r="E616" s="4" t="s">
        <v>277</v>
      </c>
      <c r="F616" s="4"/>
      <c r="G616" s="6" t="s">
        <v>526</v>
      </c>
      <c r="H616" s="53">
        <f>H617+H618</f>
        <v>543.2</v>
      </c>
      <c r="I616" s="53">
        <f>I617+I618</f>
        <v>0</v>
      </c>
      <c r="J616" s="53">
        <f>J617+J618</f>
        <v>525.3</v>
      </c>
      <c r="K616" s="53">
        <f>K617+K618</f>
        <v>0</v>
      </c>
      <c r="L616" s="83"/>
    </row>
    <row r="617" spans="1:12" ht="35.25" customHeight="1">
      <c r="A617" s="2" t="s">
        <v>440</v>
      </c>
      <c r="B617" s="4" t="s">
        <v>340</v>
      </c>
      <c r="C617" s="4" t="s">
        <v>268</v>
      </c>
      <c r="D617" s="4" t="s">
        <v>261</v>
      </c>
      <c r="E617" s="4" t="s">
        <v>277</v>
      </c>
      <c r="F617" s="4"/>
      <c r="G617" s="6" t="s">
        <v>437</v>
      </c>
      <c r="H617" s="53">
        <v>84.6</v>
      </c>
      <c r="I617" s="53"/>
      <c r="J617" s="53">
        <v>84.6</v>
      </c>
      <c r="K617" s="53"/>
      <c r="L617" s="83"/>
    </row>
    <row r="618" spans="1:12" ht="27" customHeight="1">
      <c r="A618" s="2" t="s">
        <v>431</v>
      </c>
      <c r="B618" s="4" t="s">
        <v>340</v>
      </c>
      <c r="C618" s="4" t="s">
        <v>268</v>
      </c>
      <c r="D618" s="4" t="s">
        <v>261</v>
      </c>
      <c r="E618" s="4" t="s">
        <v>277</v>
      </c>
      <c r="F618" s="4"/>
      <c r="G618" s="6" t="s">
        <v>421</v>
      </c>
      <c r="H618" s="53">
        <f>405+2.5-15.7+66.8</f>
        <v>458.6</v>
      </c>
      <c r="I618" s="53"/>
      <c r="J618" s="53">
        <v>440.7</v>
      </c>
      <c r="K618" s="53"/>
      <c r="L618" s="83"/>
    </row>
    <row r="619" spans="1:12" ht="28.5">
      <c r="A619" s="2" t="s">
        <v>349</v>
      </c>
      <c r="B619" s="4" t="s">
        <v>340</v>
      </c>
      <c r="C619" s="4" t="s">
        <v>268</v>
      </c>
      <c r="D619" s="4" t="s">
        <v>261</v>
      </c>
      <c r="E619" s="4" t="s">
        <v>378</v>
      </c>
      <c r="F619" s="4"/>
      <c r="G619" s="6"/>
      <c r="H619" s="53">
        <f>H620+H622+H623+H621</f>
        <v>14189.3</v>
      </c>
      <c r="I619" s="53">
        <f>I620+I622+I623+I621</f>
        <v>0</v>
      </c>
      <c r="J619" s="53">
        <f>J620+J622+J623+J621</f>
        <v>14145.7</v>
      </c>
      <c r="K619" s="53">
        <f>K620+K622+K623+K621</f>
        <v>0</v>
      </c>
      <c r="L619" s="83"/>
    </row>
    <row r="620" spans="1:12" ht="32.25" customHeight="1">
      <c r="A620" s="2" t="s">
        <v>431</v>
      </c>
      <c r="B620" s="4" t="s">
        <v>340</v>
      </c>
      <c r="C620" s="4" t="s">
        <v>268</v>
      </c>
      <c r="D620" s="4" t="s">
        <v>261</v>
      </c>
      <c r="E620" s="4" t="s">
        <v>378</v>
      </c>
      <c r="F620" s="4"/>
      <c r="G620" s="6" t="s">
        <v>421</v>
      </c>
      <c r="H620" s="53">
        <f>319.5+500-14-390-60</f>
        <v>355.5</v>
      </c>
      <c r="I620" s="53"/>
      <c r="J620" s="53">
        <v>353</v>
      </c>
      <c r="K620" s="53"/>
      <c r="L620" s="83"/>
    </row>
    <row r="621" spans="1:12" ht="34.5" customHeight="1">
      <c r="A621" s="7" t="s">
        <v>411</v>
      </c>
      <c r="B621" s="4" t="s">
        <v>340</v>
      </c>
      <c r="C621" s="4" t="s">
        <v>268</v>
      </c>
      <c r="D621" s="4" t="s">
        <v>261</v>
      </c>
      <c r="E621" s="4" t="s">
        <v>378</v>
      </c>
      <c r="F621" s="4"/>
      <c r="G621" s="6" t="s">
        <v>407</v>
      </c>
      <c r="H621" s="53">
        <v>14</v>
      </c>
      <c r="I621" s="53"/>
      <c r="J621" s="53">
        <v>13.7</v>
      </c>
      <c r="K621" s="53"/>
      <c r="L621" s="83"/>
    </row>
    <row r="622" spans="1:12" ht="17.25" customHeight="1">
      <c r="A622" s="7" t="s">
        <v>399</v>
      </c>
      <c r="B622" s="4" t="s">
        <v>340</v>
      </c>
      <c r="C622" s="4" t="s">
        <v>268</v>
      </c>
      <c r="D622" s="4" t="s">
        <v>261</v>
      </c>
      <c r="E622" s="4" t="s">
        <v>378</v>
      </c>
      <c r="F622" s="4"/>
      <c r="G622" s="6" t="s">
        <v>398</v>
      </c>
      <c r="H622" s="53">
        <v>3004.2</v>
      </c>
      <c r="I622" s="53"/>
      <c r="J622" s="53">
        <v>3004.2</v>
      </c>
      <c r="K622" s="53"/>
      <c r="L622" s="83"/>
    </row>
    <row r="623" spans="1:12" ht="17.25" customHeight="1">
      <c r="A623" s="7" t="s">
        <v>428</v>
      </c>
      <c r="B623" s="4" t="s">
        <v>340</v>
      </c>
      <c r="C623" s="4" t="s">
        <v>268</v>
      </c>
      <c r="D623" s="4" t="s">
        <v>261</v>
      </c>
      <c r="E623" s="4" t="s">
        <v>378</v>
      </c>
      <c r="F623" s="4"/>
      <c r="G623" s="6" t="s">
        <v>427</v>
      </c>
      <c r="H623" s="53">
        <v>10815.6</v>
      </c>
      <c r="I623" s="53"/>
      <c r="J623" s="53">
        <v>10774.8</v>
      </c>
      <c r="K623" s="53"/>
      <c r="L623" s="83"/>
    </row>
    <row r="624" spans="1:12" ht="15">
      <c r="A624" s="47" t="s">
        <v>283</v>
      </c>
      <c r="B624" s="3" t="s">
        <v>340</v>
      </c>
      <c r="C624" s="3" t="s">
        <v>327</v>
      </c>
      <c r="D624" s="3"/>
      <c r="E624" s="3"/>
      <c r="F624" s="3"/>
      <c r="G624" s="5"/>
      <c r="H624" s="48">
        <f>H625+H641</f>
        <v>36124.1</v>
      </c>
      <c r="I624" s="48">
        <f>I625+I641</f>
        <v>1088.5</v>
      </c>
      <c r="J624" s="48">
        <f>J625+J641</f>
        <v>36123.7</v>
      </c>
      <c r="K624" s="48">
        <f>K625+K641</f>
        <v>1088.5</v>
      </c>
      <c r="L624" s="63">
        <f>J624/H624*100</f>
        <v>99.99889270597745</v>
      </c>
    </row>
    <row r="625" spans="1:12" ht="15">
      <c r="A625" s="47" t="s">
        <v>328</v>
      </c>
      <c r="B625" s="3" t="s">
        <v>340</v>
      </c>
      <c r="C625" s="3" t="s">
        <v>327</v>
      </c>
      <c r="D625" s="3" t="s">
        <v>259</v>
      </c>
      <c r="E625" s="3"/>
      <c r="F625" s="3"/>
      <c r="G625" s="6"/>
      <c r="H625" s="48">
        <f>H626+H637+H633</f>
        <v>36034.1</v>
      </c>
      <c r="I625" s="48">
        <f>I626+I637+I633</f>
        <v>998.5</v>
      </c>
      <c r="J625" s="48">
        <f>J626+J637+J633</f>
        <v>36033.7</v>
      </c>
      <c r="K625" s="48">
        <f>K626+K637+K633</f>
        <v>998.5</v>
      </c>
      <c r="L625" s="63">
        <f>J625/H625*100</f>
        <v>99.99888994036205</v>
      </c>
    </row>
    <row r="626" spans="1:12" ht="14.25">
      <c r="A626" s="2" t="s">
        <v>188</v>
      </c>
      <c r="B626" s="4" t="s">
        <v>340</v>
      </c>
      <c r="C626" s="4" t="s">
        <v>327</v>
      </c>
      <c r="D626" s="4" t="s">
        <v>259</v>
      </c>
      <c r="E626" s="4" t="s">
        <v>189</v>
      </c>
      <c r="F626" s="4"/>
      <c r="G626" s="6"/>
      <c r="H626" s="53">
        <f>H629+H627</f>
        <v>32507.3</v>
      </c>
      <c r="I626" s="53">
        <f>I629+I627</f>
        <v>0</v>
      </c>
      <c r="J626" s="53">
        <f>J629+J627</f>
        <v>32506.899999999998</v>
      </c>
      <c r="K626" s="53">
        <f>K629+K627</f>
        <v>0</v>
      </c>
      <c r="L626" s="83"/>
    </row>
    <row r="627" spans="1:12" ht="28.5">
      <c r="A627" s="2" t="s">
        <v>363</v>
      </c>
      <c r="B627" s="4" t="s">
        <v>340</v>
      </c>
      <c r="C627" s="4" t="s">
        <v>327</v>
      </c>
      <c r="D627" s="4" t="s">
        <v>259</v>
      </c>
      <c r="E627" s="4" t="s">
        <v>600</v>
      </c>
      <c r="F627" s="4"/>
      <c r="G627" s="6"/>
      <c r="H627" s="53">
        <f>H628</f>
        <v>11444</v>
      </c>
      <c r="I627" s="53">
        <f>I628</f>
        <v>0</v>
      </c>
      <c r="J627" s="53">
        <f>J628</f>
        <v>11444</v>
      </c>
      <c r="K627" s="53">
        <f>K628</f>
        <v>0</v>
      </c>
      <c r="L627" s="83"/>
    </row>
    <row r="628" spans="1:12" ht="42.75">
      <c r="A628" s="2" t="s">
        <v>601</v>
      </c>
      <c r="B628" s="4" t="s">
        <v>340</v>
      </c>
      <c r="C628" s="4" t="s">
        <v>327</v>
      </c>
      <c r="D628" s="4" t="s">
        <v>259</v>
      </c>
      <c r="E628" s="4" t="s">
        <v>600</v>
      </c>
      <c r="F628" s="4"/>
      <c r="G628" s="6" t="s">
        <v>402</v>
      </c>
      <c r="H628" s="53">
        <f>11000+444</f>
        <v>11444</v>
      </c>
      <c r="I628" s="53"/>
      <c r="J628" s="53">
        <v>11444</v>
      </c>
      <c r="K628" s="53"/>
      <c r="L628" s="83"/>
    </row>
    <row r="629" spans="1:12" ht="14.25">
      <c r="A629" s="2" t="s">
        <v>157</v>
      </c>
      <c r="B629" s="4" t="s">
        <v>340</v>
      </c>
      <c r="C629" s="4" t="s">
        <v>327</v>
      </c>
      <c r="D629" s="4" t="s">
        <v>259</v>
      </c>
      <c r="E629" s="4" t="s">
        <v>284</v>
      </c>
      <c r="F629" s="4"/>
      <c r="G629" s="6"/>
      <c r="H629" s="53">
        <f>H631+H632+10</f>
        <v>21063.3</v>
      </c>
      <c r="I629" s="53"/>
      <c r="J629" s="53">
        <f>J631+J632+10</f>
        <v>21062.899999999998</v>
      </c>
      <c r="K629" s="53"/>
      <c r="L629" s="83"/>
    </row>
    <row r="630" spans="1:12" ht="28.5">
      <c r="A630" s="2" t="s">
        <v>431</v>
      </c>
      <c r="B630" s="4" t="s">
        <v>340</v>
      </c>
      <c r="C630" s="4" t="s">
        <v>327</v>
      </c>
      <c r="D630" s="4" t="s">
        <v>259</v>
      </c>
      <c r="E630" s="4" t="s">
        <v>284</v>
      </c>
      <c r="F630" s="4"/>
      <c r="G630" s="6" t="s">
        <v>421</v>
      </c>
      <c r="H630" s="53">
        <v>10</v>
      </c>
      <c r="I630" s="53"/>
      <c r="J630" s="53">
        <v>10</v>
      </c>
      <c r="K630" s="53"/>
      <c r="L630" s="83"/>
    </row>
    <row r="631" spans="1:12" ht="42.75">
      <c r="A631" s="2" t="s">
        <v>436</v>
      </c>
      <c r="B631" s="4" t="s">
        <v>340</v>
      </c>
      <c r="C631" s="4" t="s">
        <v>327</v>
      </c>
      <c r="D631" s="4" t="s">
        <v>259</v>
      </c>
      <c r="E631" s="4" t="s">
        <v>284</v>
      </c>
      <c r="F631" s="4"/>
      <c r="G631" s="6" t="s">
        <v>402</v>
      </c>
      <c r="H631" s="53">
        <v>20090.3</v>
      </c>
      <c r="I631" s="53"/>
      <c r="J631" s="53">
        <v>20090.3</v>
      </c>
      <c r="K631" s="53"/>
      <c r="L631" s="83"/>
    </row>
    <row r="632" spans="1:12" ht="14.25">
      <c r="A632" s="7" t="s">
        <v>399</v>
      </c>
      <c r="B632" s="4" t="s">
        <v>340</v>
      </c>
      <c r="C632" s="4" t="s">
        <v>327</v>
      </c>
      <c r="D632" s="4" t="s">
        <v>259</v>
      </c>
      <c r="E632" s="4" t="s">
        <v>284</v>
      </c>
      <c r="F632" s="4"/>
      <c r="G632" s="6" t="s">
        <v>398</v>
      </c>
      <c r="H632" s="53">
        <v>963</v>
      </c>
      <c r="I632" s="53"/>
      <c r="J632" s="53">
        <v>962.6</v>
      </c>
      <c r="K632" s="53"/>
      <c r="L632" s="83"/>
    </row>
    <row r="633" spans="1:12" ht="14.25">
      <c r="A633" s="7" t="s">
        <v>530</v>
      </c>
      <c r="B633" s="4" t="s">
        <v>340</v>
      </c>
      <c r="C633" s="4" t="s">
        <v>327</v>
      </c>
      <c r="D633" s="4" t="s">
        <v>259</v>
      </c>
      <c r="E633" s="4" t="s">
        <v>528</v>
      </c>
      <c r="F633" s="4"/>
      <c r="G633" s="6"/>
      <c r="H633" s="53">
        <f aca="true" t="shared" si="46" ref="H633:K635">H634</f>
        <v>998.5</v>
      </c>
      <c r="I633" s="53">
        <f t="shared" si="46"/>
        <v>998.5</v>
      </c>
      <c r="J633" s="53">
        <f t="shared" si="46"/>
        <v>998.5</v>
      </c>
      <c r="K633" s="53">
        <f t="shared" si="46"/>
        <v>998.5</v>
      </c>
      <c r="L633" s="83"/>
    </row>
    <row r="634" spans="1:12" ht="42.75">
      <c r="A634" s="7" t="s">
        <v>118</v>
      </c>
      <c r="B634" s="4" t="s">
        <v>340</v>
      </c>
      <c r="C634" s="4" t="s">
        <v>327</v>
      </c>
      <c r="D634" s="4" t="s">
        <v>259</v>
      </c>
      <c r="E634" s="4" t="s">
        <v>115</v>
      </c>
      <c r="F634" s="4"/>
      <c r="G634" s="6"/>
      <c r="H634" s="53">
        <f t="shared" si="46"/>
        <v>998.5</v>
      </c>
      <c r="I634" s="53">
        <f t="shared" si="46"/>
        <v>998.5</v>
      </c>
      <c r="J634" s="53">
        <f t="shared" si="46"/>
        <v>998.5</v>
      </c>
      <c r="K634" s="53">
        <f t="shared" si="46"/>
        <v>998.5</v>
      </c>
      <c r="L634" s="83"/>
    </row>
    <row r="635" spans="1:12" ht="57">
      <c r="A635" s="7" t="s">
        <v>117</v>
      </c>
      <c r="B635" s="4" t="s">
        <v>340</v>
      </c>
      <c r="C635" s="4" t="s">
        <v>327</v>
      </c>
      <c r="D635" s="4" t="s">
        <v>259</v>
      </c>
      <c r="E635" s="4" t="s">
        <v>116</v>
      </c>
      <c r="F635" s="4"/>
      <c r="G635" s="6"/>
      <c r="H635" s="53">
        <f t="shared" si="46"/>
        <v>998.5</v>
      </c>
      <c r="I635" s="53">
        <f t="shared" si="46"/>
        <v>998.5</v>
      </c>
      <c r="J635" s="53">
        <f t="shared" si="46"/>
        <v>998.5</v>
      </c>
      <c r="K635" s="53">
        <f t="shared" si="46"/>
        <v>998.5</v>
      </c>
      <c r="L635" s="83"/>
    </row>
    <row r="636" spans="1:12" ht="42.75" customHeight="1">
      <c r="A636" s="2" t="s">
        <v>429</v>
      </c>
      <c r="B636" s="4" t="s">
        <v>340</v>
      </c>
      <c r="C636" s="4" t="s">
        <v>327</v>
      </c>
      <c r="D636" s="4" t="s">
        <v>259</v>
      </c>
      <c r="E636" s="4" t="s">
        <v>116</v>
      </c>
      <c r="F636" s="4"/>
      <c r="G636" s="6" t="s">
        <v>402</v>
      </c>
      <c r="H636" s="53">
        <f>912.4+86.1</f>
        <v>998.5</v>
      </c>
      <c r="I636" s="53">
        <f>912.4+86.1</f>
        <v>998.5</v>
      </c>
      <c r="J636" s="53">
        <v>998.5</v>
      </c>
      <c r="K636" s="53">
        <v>998.5</v>
      </c>
      <c r="L636" s="83"/>
    </row>
    <row r="637" spans="1:12" ht="14.25">
      <c r="A637" s="2" t="s">
        <v>223</v>
      </c>
      <c r="B637" s="4" t="s">
        <v>340</v>
      </c>
      <c r="C637" s="4" t="s">
        <v>327</v>
      </c>
      <c r="D637" s="4" t="s">
        <v>259</v>
      </c>
      <c r="E637" s="4" t="s">
        <v>224</v>
      </c>
      <c r="F637" s="4"/>
      <c r="G637" s="6"/>
      <c r="H637" s="53">
        <f>H638</f>
        <v>2528.3</v>
      </c>
      <c r="I637" s="53">
        <f>I638</f>
        <v>0</v>
      </c>
      <c r="J637" s="53">
        <f>J638</f>
        <v>2528.3</v>
      </c>
      <c r="K637" s="53">
        <f>K638</f>
        <v>0</v>
      </c>
      <c r="L637" s="83"/>
    </row>
    <row r="638" spans="1:12" ht="44.25" customHeight="1">
      <c r="A638" s="2" t="s">
        <v>365</v>
      </c>
      <c r="B638" s="4" t="s">
        <v>340</v>
      </c>
      <c r="C638" s="4" t="s">
        <v>327</v>
      </c>
      <c r="D638" s="4" t="s">
        <v>259</v>
      </c>
      <c r="E638" s="4" t="s">
        <v>379</v>
      </c>
      <c r="F638" s="4"/>
      <c r="G638" s="6"/>
      <c r="H638" s="53">
        <f>H639+H640</f>
        <v>2528.3</v>
      </c>
      <c r="I638" s="53">
        <f>I639+I640</f>
        <v>0</v>
      </c>
      <c r="J638" s="53">
        <f>J639+J640</f>
        <v>2528.3</v>
      </c>
      <c r="K638" s="53">
        <f>K639+K640</f>
        <v>0</v>
      </c>
      <c r="L638" s="83"/>
    </row>
    <row r="639" spans="1:12" ht="30.75" customHeight="1">
      <c r="A639" s="2" t="s">
        <v>431</v>
      </c>
      <c r="B639" s="4" t="s">
        <v>340</v>
      </c>
      <c r="C639" s="4" t="s">
        <v>327</v>
      </c>
      <c r="D639" s="4" t="s">
        <v>259</v>
      </c>
      <c r="E639" s="4" t="s">
        <v>379</v>
      </c>
      <c r="F639" s="4"/>
      <c r="G639" s="6" t="s">
        <v>421</v>
      </c>
      <c r="H639" s="53">
        <v>258</v>
      </c>
      <c r="I639" s="53"/>
      <c r="J639" s="53">
        <v>258</v>
      </c>
      <c r="K639" s="53"/>
      <c r="L639" s="83"/>
    </row>
    <row r="640" spans="1:12" ht="18.75" customHeight="1">
      <c r="A640" s="7" t="s">
        <v>399</v>
      </c>
      <c r="B640" s="4" t="s">
        <v>340</v>
      </c>
      <c r="C640" s="4" t="s">
        <v>327</v>
      </c>
      <c r="D640" s="4" t="s">
        <v>259</v>
      </c>
      <c r="E640" s="4" t="s">
        <v>379</v>
      </c>
      <c r="F640" s="4"/>
      <c r="G640" s="6" t="s">
        <v>398</v>
      </c>
      <c r="H640" s="53">
        <f>820.3+800+500+150</f>
        <v>2270.3</v>
      </c>
      <c r="I640" s="53"/>
      <c r="J640" s="53">
        <v>2270.3</v>
      </c>
      <c r="K640" s="53"/>
      <c r="L640" s="83"/>
    </row>
    <row r="641" spans="1:12" ht="18.75" customHeight="1">
      <c r="A641" s="7" t="s">
        <v>124</v>
      </c>
      <c r="B641" s="4" t="s">
        <v>340</v>
      </c>
      <c r="C641" s="4" t="s">
        <v>327</v>
      </c>
      <c r="D641" s="4" t="s">
        <v>260</v>
      </c>
      <c r="E641" s="4"/>
      <c r="F641" s="4"/>
      <c r="G641" s="6"/>
      <c r="H641" s="53">
        <f>H642</f>
        <v>90</v>
      </c>
      <c r="I641" s="53">
        <f>I642</f>
        <v>90</v>
      </c>
      <c r="J641" s="53">
        <f>J642</f>
        <v>90</v>
      </c>
      <c r="K641" s="53">
        <f>K642</f>
        <v>90</v>
      </c>
      <c r="L641" s="83"/>
    </row>
    <row r="642" spans="1:12" ht="46.5" customHeight="1">
      <c r="A642" s="7" t="s">
        <v>127</v>
      </c>
      <c r="B642" s="4" t="s">
        <v>340</v>
      </c>
      <c r="C642" s="4" t="s">
        <v>327</v>
      </c>
      <c r="D642" s="4" t="s">
        <v>260</v>
      </c>
      <c r="E642" s="4" t="s">
        <v>125</v>
      </c>
      <c r="F642" s="4"/>
      <c r="G642" s="6"/>
      <c r="H642" s="53">
        <f>H644</f>
        <v>90</v>
      </c>
      <c r="I642" s="53">
        <f>I644</f>
        <v>90</v>
      </c>
      <c r="J642" s="53">
        <f>J644</f>
        <v>90</v>
      </c>
      <c r="K642" s="53">
        <f>K644</f>
        <v>90</v>
      </c>
      <c r="L642" s="83"/>
    </row>
    <row r="643" spans="1:12" ht="129" customHeight="1">
      <c r="A643" s="7" t="s">
        <v>128</v>
      </c>
      <c r="B643" s="4" t="s">
        <v>340</v>
      </c>
      <c r="C643" s="4" t="s">
        <v>327</v>
      </c>
      <c r="D643" s="4" t="s">
        <v>260</v>
      </c>
      <c r="E643" s="4" t="s">
        <v>126</v>
      </c>
      <c r="F643" s="4"/>
      <c r="G643" s="6"/>
      <c r="H643" s="53">
        <f>H644</f>
        <v>90</v>
      </c>
      <c r="I643" s="53">
        <f>I644</f>
        <v>90</v>
      </c>
      <c r="J643" s="53">
        <f>J644</f>
        <v>90</v>
      </c>
      <c r="K643" s="53">
        <f>K644</f>
        <v>90</v>
      </c>
      <c r="L643" s="83"/>
    </row>
    <row r="644" spans="1:12" ht="30" customHeight="1">
      <c r="A644" s="2" t="s">
        <v>431</v>
      </c>
      <c r="B644" s="4" t="s">
        <v>340</v>
      </c>
      <c r="C644" s="4" t="s">
        <v>327</v>
      </c>
      <c r="D644" s="4" t="s">
        <v>260</v>
      </c>
      <c r="E644" s="4" t="s">
        <v>126</v>
      </c>
      <c r="F644" s="4"/>
      <c r="G644" s="6" t="s">
        <v>421</v>
      </c>
      <c r="H644" s="53">
        <v>90</v>
      </c>
      <c r="I644" s="53">
        <v>90</v>
      </c>
      <c r="J644" s="53">
        <v>90</v>
      </c>
      <c r="K644" s="53">
        <v>90</v>
      </c>
      <c r="L644" s="83"/>
    </row>
    <row r="645" spans="1:12" ht="61.5" customHeight="1">
      <c r="A645" s="45" t="s">
        <v>505</v>
      </c>
      <c r="B645" s="3" t="s">
        <v>368</v>
      </c>
      <c r="C645" s="3"/>
      <c r="D645" s="3"/>
      <c r="E645" s="3"/>
      <c r="F645" s="3"/>
      <c r="G645" s="5"/>
      <c r="H645" s="48">
        <f>H646</f>
        <v>6304.7</v>
      </c>
      <c r="I645" s="48">
        <f>I646</f>
        <v>0</v>
      </c>
      <c r="J645" s="48">
        <f>J646</f>
        <v>6261.200000000001</v>
      </c>
      <c r="K645" s="48">
        <f>K646</f>
        <v>0</v>
      </c>
      <c r="L645" s="63">
        <f>J645/H645*100</f>
        <v>99.31003854267453</v>
      </c>
    </row>
    <row r="646" spans="1:12" ht="15">
      <c r="A646" s="47" t="s">
        <v>153</v>
      </c>
      <c r="B646" s="3" t="s">
        <v>368</v>
      </c>
      <c r="C646" s="3" t="s">
        <v>259</v>
      </c>
      <c r="D646" s="3"/>
      <c r="E646" s="3"/>
      <c r="F646" s="3"/>
      <c r="G646" s="5"/>
      <c r="H646" s="48">
        <f>H647+H660</f>
        <v>6304.7</v>
      </c>
      <c r="I646" s="48">
        <f>I647+I660</f>
        <v>0</v>
      </c>
      <c r="J646" s="48">
        <f>J647+J660</f>
        <v>6261.200000000001</v>
      </c>
      <c r="K646" s="48">
        <f>K647+K660</f>
        <v>0</v>
      </c>
      <c r="L646" s="63">
        <f>J646/H646*100</f>
        <v>99.31003854267453</v>
      </c>
    </row>
    <row r="647" spans="1:12" ht="60">
      <c r="A647" s="47" t="s">
        <v>299</v>
      </c>
      <c r="B647" s="3" t="s">
        <v>368</v>
      </c>
      <c r="C647" s="3" t="s">
        <v>259</v>
      </c>
      <c r="D647" s="3" t="s">
        <v>264</v>
      </c>
      <c r="E647" s="3"/>
      <c r="F647" s="3"/>
      <c r="G647" s="6"/>
      <c r="H647" s="48">
        <f>H648</f>
        <v>5456.7</v>
      </c>
      <c r="I647" s="48">
        <f>I648</f>
        <v>0</v>
      </c>
      <c r="J647" s="48">
        <f>J648</f>
        <v>5425.1</v>
      </c>
      <c r="K647" s="48">
        <f>K648</f>
        <v>0</v>
      </c>
      <c r="L647" s="63">
        <f>J647/H647*100</f>
        <v>99.42089541297855</v>
      </c>
    </row>
    <row r="648" spans="1:12" ht="59.25" customHeight="1">
      <c r="A648" s="2" t="s">
        <v>296</v>
      </c>
      <c r="B648" s="4" t="s">
        <v>368</v>
      </c>
      <c r="C648" s="4" t="s">
        <v>259</v>
      </c>
      <c r="D648" s="4" t="s">
        <v>264</v>
      </c>
      <c r="E648" s="4" t="s">
        <v>293</v>
      </c>
      <c r="F648" s="4"/>
      <c r="G648" s="6"/>
      <c r="H648" s="53">
        <f>H649+H656</f>
        <v>5456.7</v>
      </c>
      <c r="I648" s="53">
        <f>I649+I656</f>
        <v>0</v>
      </c>
      <c r="J648" s="53">
        <f>J649+J656</f>
        <v>5425.1</v>
      </c>
      <c r="K648" s="53">
        <f>K649+K656</f>
        <v>0</v>
      </c>
      <c r="L648" s="83"/>
    </row>
    <row r="649" spans="1:12" ht="14.25">
      <c r="A649" s="2" t="s">
        <v>176</v>
      </c>
      <c r="B649" s="4" t="s">
        <v>368</v>
      </c>
      <c r="C649" s="4" t="s">
        <v>259</v>
      </c>
      <c r="D649" s="4" t="s">
        <v>264</v>
      </c>
      <c r="E649" s="4" t="s">
        <v>295</v>
      </c>
      <c r="F649" s="4"/>
      <c r="G649" s="6"/>
      <c r="H649" s="53">
        <f>H650+H652+H655</f>
        <v>2552</v>
      </c>
      <c r="I649" s="53">
        <f>I650+I652+I655</f>
        <v>0</v>
      </c>
      <c r="J649" s="53">
        <f>J650+J652+J655</f>
        <v>2520.4</v>
      </c>
      <c r="K649" s="53">
        <f>K650+K652+K655</f>
        <v>0</v>
      </c>
      <c r="L649" s="83"/>
    </row>
    <row r="650" spans="1:12" ht="14.25">
      <c r="A650" s="2" t="s">
        <v>551</v>
      </c>
      <c r="B650" s="4" t="s">
        <v>368</v>
      </c>
      <c r="C650" s="4" t="s">
        <v>259</v>
      </c>
      <c r="D650" s="4" t="s">
        <v>264</v>
      </c>
      <c r="E650" s="4" t="s">
        <v>295</v>
      </c>
      <c r="F650" s="4"/>
      <c r="G650" s="6" t="s">
        <v>393</v>
      </c>
      <c r="H650" s="53">
        <f>H651</f>
        <v>1825.9</v>
      </c>
      <c r="I650" s="53">
        <f>I651</f>
        <v>0</v>
      </c>
      <c r="J650" s="53">
        <f>J651</f>
        <v>1825</v>
      </c>
      <c r="K650" s="53">
        <f>K651</f>
        <v>0</v>
      </c>
      <c r="L650" s="83"/>
    </row>
    <row r="651" spans="1:12" ht="14.25">
      <c r="A651" s="2" t="s">
        <v>415</v>
      </c>
      <c r="B651" s="4" t="s">
        <v>368</v>
      </c>
      <c r="C651" s="4" t="s">
        <v>259</v>
      </c>
      <c r="D651" s="4" t="s">
        <v>264</v>
      </c>
      <c r="E651" s="4" t="s">
        <v>295</v>
      </c>
      <c r="F651" s="4"/>
      <c r="G651" s="6" t="s">
        <v>414</v>
      </c>
      <c r="H651" s="53">
        <v>1825.9</v>
      </c>
      <c r="I651" s="53"/>
      <c r="J651" s="53">
        <v>1825</v>
      </c>
      <c r="K651" s="53"/>
      <c r="L651" s="83"/>
    </row>
    <row r="652" spans="1:12" ht="28.5">
      <c r="A652" s="2" t="s">
        <v>599</v>
      </c>
      <c r="B652" s="4" t="s">
        <v>368</v>
      </c>
      <c r="C652" s="4" t="s">
        <v>259</v>
      </c>
      <c r="D652" s="4" t="s">
        <v>264</v>
      </c>
      <c r="E652" s="4" t="s">
        <v>295</v>
      </c>
      <c r="F652" s="4"/>
      <c r="G652" s="6" t="s">
        <v>526</v>
      </c>
      <c r="H652" s="53">
        <f>H653+H654</f>
        <v>723.4</v>
      </c>
      <c r="I652" s="53">
        <f>I653+I654</f>
        <v>0</v>
      </c>
      <c r="J652" s="53">
        <f>J653+J654</f>
        <v>693.4</v>
      </c>
      <c r="K652" s="53">
        <f>K653+K654</f>
        <v>0</v>
      </c>
      <c r="L652" s="83"/>
    </row>
    <row r="653" spans="1:12" ht="28.5">
      <c r="A653" s="2" t="s">
        <v>440</v>
      </c>
      <c r="B653" s="4" t="s">
        <v>368</v>
      </c>
      <c r="C653" s="4" t="s">
        <v>259</v>
      </c>
      <c r="D653" s="4" t="s">
        <v>264</v>
      </c>
      <c r="E653" s="4" t="s">
        <v>295</v>
      </c>
      <c r="F653" s="4"/>
      <c r="G653" s="6" t="s">
        <v>437</v>
      </c>
      <c r="H653" s="53">
        <f>70-0.7-0.6-5.6</f>
        <v>63.1</v>
      </c>
      <c r="I653" s="53"/>
      <c r="J653" s="53">
        <v>63.1</v>
      </c>
      <c r="K653" s="53"/>
      <c r="L653" s="83"/>
    </row>
    <row r="654" spans="1:12" ht="27" customHeight="1">
      <c r="A654" s="2" t="s">
        <v>431</v>
      </c>
      <c r="B654" s="4" t="s">
        <v>368</v>
      </c>
      <c r="C654" s="4" t="s">
        <v>259</v>
      </c>
      <c r="D654" s="4" t="s">
        <v>264</v>
      </c>
      <c r="E654" s="4" t="s">
        <v>295</v>
      </c>
      <c r="F654" s="4"/>
      <c r="G654" s="6" t="s">
        <v>421</v>
      </c>
      <c r="H654" s="53">
        <v>660.3</v>
      </c>
      <c r="I654" s="53"/>
      <c r="J654" s="53">
        <v>630.3</v>
      </c>
      <c r="K654" s="53"/>
      <c r="L654" s="83"/>
    </row>
    <row r="655" spans="1:12" ht="30.75" customHeight="1">
      <c r="A655" s="2" t="s">
        <v>363</v>
      </c>
      <c r="B655" s="4" t="s">
        <v>368</v>
      </c>
      <c r="C655" s="4" t="s">
        <v>259</v>
      </c>
      <c r="D655" s="4" t="s">
        <v>264</v>
      </c>
      <c r="E655" s="4" t="s">
        <v>295</v>
      </c>
      <c r="F655" s="4"/>
      <c r="G655" s="6" t="s">
        <v>418</v>
      </c>
      <c r="H655" s="53">
        <v>2.7</v>
      </c>
      <c r="I655" s="53"/>
      <c r="J655" s="53">
        <v>2</v>
      </c>
      <c r="K655" s="53"/>
      <c r="L655" s="83"/>
    </row>
    <row r="656" spans="1:12" ht="28.5">
      <c r="A656" s="2" t="s">
        <v>300</v>
      </c>
      <c r="B656" s="4" t="s">
        <v>368</v>
      </c>
      <c r="C656" s="4" t="s">
        <v>259</v>
      </c>
      <c r="D656" s="4" t="s">
        <v>264</v>
      </c>
      <c r="E656" s="4" t="s">
        <v>301</v>
      </c>
      <c r="F656" s="4"/>
      <c r="G656" s="6"/>
      <c r="H656" s="53">
        <f>H657</f>
        <v>2904.7</v>
      </c>
      <c r="I656" s="53">
        <f>I657</f>
        <v>0</v>
      </c>
      <c r="J656" s="53">
        <f>J657</f>
        <v>2904.7</v>
      </c>
      <c r="K656" s="53">
        <f>K657</f>
        <v>0</v>
      </c>
      <c r="L656" s="83"/>
    </row>
    <row r="657" spans="1:12" ht="14.25">
      <c r="A657" s="2" t="s">
        <v>551</v>
      </c>
      <c r="B657" s="4" t="s">
        <v>368</v>
      </c>
      <c r="C657" s="4" t="s">
        <v>259</v>
      </c>
      <c r="D657" s="4" t="s">
        <v>264</v>
      </c>
      <c r="E657" s="4" t="s">
        <v>301</v>
      </c>
      <c r="F657" s="4"/>
      <c r="G657" s="6" t="s">
        <v>393</v>
      </c>
      <c r="H657" s="53">
        <f>H658+H659</f>
        <v>2904.7</v>
      </c>
      <c r="I657" s="53">
        <f>I658+I659</f>
        <v>0</v>
      </c>
      <c r="J657" s="53">
        <f>J658+J659</f>
        <v>2904.7</v>
      </c>
      <c r="K657" s="53">
        <f>K658+K659</f>
        <v>0</v>
      </c>
      <c r="L657" s="83"/>
    </row>
    <row r="658" spans="1:12" ht="14.25">
      <c r="A658" s="2" t="s">
        <v>415</v>
      </c>
      <c r="B658" s="4" t="s">
        <v>368</v>
      </c>
      <c r="C658" s="4" t="s">
        <v>259</v>
      </c>
      <c r="D658" s="4" t="s">
        <v>264</v>
      </c>
      <c r="E658" s="4" t="s">
        <v>301</v>
      </c>
      <c r="F658" s="4"/>
      <c r="G658" s="6" t="s">
        <v>414</v>
      </c>
      <c r="H658" s="53">
        <v>2578</v>
      </c>
      <c r="I658" s="53"/>
      <c r="J658" s="53">
        <v>2578</v>
      </c>
      <c r="K658" s="53"/>
      <c r="L658" s="83"/>
    </row>
    <row r="659" spans="1:12" ht="28.5">
      <c r="A659" s="2" t="s">
        <v>417</v>
      </c>
      <c r="B659" s="4" t="s">
        <v>368</v>
      </c>
      <c r="C659" s="4" t="s">
        <v>259</v>
      </c>
      <c r="D659" s="4" t="s">
        <v>264</v>
      </c>
      <c r="E659" s="4" t="s">
        <v>301</v>
      </c>
      <c r="F659" s="4"/>
      <c r="G659" s="6" t="s">
        <v>416</v>
      </c>
      <c r="H659" s="53">
        <f>322.9+3.8</f>
        <v>326.7</v>
      </c>
      <c r="I659" s="53"/>
      <c r="J659" s="53">
        <v>326.7</v>
      </c>
      <c r="K659" s="53"/>
      <c r="L659" s="83"/>
    </row>
    <row r="660" spans="1:12" ht="15">
      <c r="A660" s="47" t="s">
        <v>190</v>
      </c>
      <c r="B660" s="3" t="s">
        <v>368</v>
      </c>
      <c r="C660" s="3" t="s">
        <v>259</v>
      </c>
      <c r="D660" s="3" t="s">
        <v>326</v>
      </c>
      <c r="E660" s="3"/>
      <c r="F660" s="3"/>
      <c r="G660" s="6"/>
      <c r="H660" s="53">
        <f>H661</f>
        <v>848</v>
      </c>
      <c r="I660" s="53">
        <f>I661</f>
        <v>0</v>
      </c>
      <c r="J660" s="53">
        <f>J661</f>
        <v>836.1</v>
      </c>
      <c r="K660" s="53">
        <f>K661</f>
        <v>0</v>
      </c>
      <c r="L660" s="83"/>
    </row>
    <row r="661" spans="1:12" ht="14.25">
      <c r="A661" s="2" t="s">
        <v>223</v>
      </c>
      <c r="B661" s="4" t="s">
        <v>368</v>
      </c>
      <c r="C661" s="4" t="s">
        <v>259</v>
      </c>
      <c r="D661" s="4" t="s">
        <v>326</v>
      </c>
      <c r="E661" s="4" t="s">
        <v>224</v>
      </c>
      <c r="F661" s="4"/>
      <c r="G661" s="6"/>
      <c r="H661" s="53">
        <f>H662+H667</f>
        <v>848</v>
      </c>
      <c r="I661" s="53">
        <f>I662+I667</f>
        <v>0</v>
      </c>
      <c r="J661" s="53">
        <f>J662+J667</f>
        <v>836.1</v>
      </c>
      <c r="K661" s="53">
        <f>K662+K667</f>
        <v>0</v>
      </c>
      <c r="L661" s="83"/>
    </row>
    <row r="662" spans="1:12" ht="42.75">
      <c r="A662" s="2" t="s">
        <v>352</v>
      </c>
      <c r="B662" s="4" t="s">
        <v>368</v>
      </c>
      <c r="C662" s="4" t="s">
        <v>259</v>
      </c>
      <c r="D662" s="4" t="s">
        <v>326</v>
      </c>
      <c r="E662" s="4" t="s">
        <v>277</v>
      </c>
      <c r="F662" s="4"/>
      <c r="G662" s="6"/>
      <c r="H662" s="53">
        <f>H663+H666+H665</f>
        <v>843</v>
      </c>
      <c r="I662" s="53">
        <f>I663+I666+I665</f>
        <v>0</v>
      </c>
      <c r="J662" s="53">
        <f>J663+J666+J665</f>
        <v>836.1</v>
      </c>
      <c r="K662" s="53">
        <f>K663+K666+K665</f>
        <v>0</v>
      </c>
      <c r="L662" s="83"/>
    </row>
    <row r="663" spans="1:12" ht="28.5">
      <c r="A663" s="2" t="s">
        <v>417</v>
      </c>
      <c r="B663" s="4" t="s">
        <v>368</v>
      </c>
      <c r="C663" s="4" t="s">
        <v>259</v>
      </c>
      <c r="D663" s="4" t="s">
        <v>326</v>
      </c>
      <c r="E663" s="4" t="s">
        <v>277</v>
      </c>
      <c r="F663" s="4"/>
      <c r="G663" s="6" t="s">
        <v>416</v>
      </c>
      <c r="H663" s="53">
        <v>384.2</v>
      </c>
      <c r="I663" s="53"/>
      <c r="J663" s="53">
        <v>384.2</v>
      </c>
      <c r="K663" s="53"/>
      <c r="L663" s="83"/>
    </row>
    <row r="664" spans="1:12" ht="28.5">
      <c r="A664" s="2" t="s">
        <v>599</v>
      </c>
      <c r="B664" s="4" t="s">
        <v>368</v>
      </c>
      <c r="C664" s="4" t="s">
        <v>259</v>
      </c>
      <c r="D664" s="4" t="s">
        <v>326</v>
      </c>
      <c r="E664" s="4" t="s">
        <v>277</v>
      </c>
      <c r="F664" s="4"/>
      <c r="G664" s="6" t="s">
        <v>526</v>
      </c>
      <c r="H664" s="53">
        <f>H665+H666</f>
        <v>458.8</v>
      </c>
      <c r="I664" s="53">
        <f>I665+I666</f>
        <v>0</v>
      </c>
      <c r="J664" s="53">
        <f>J665+J666</f>
        <v>451.90000000000003</v>
      </c>
      <c r="K664" s="53">
        <f>K665+K666</f>
        <v>0</v>
      </c>
      <c r="L664" s="83"/>
    </row>
    <row r="665" spans="1:12" ht="28.5">
      <c r="A665" s="2" t="s">
        <v>440</v>
      </c>
      <c r="B665" s="4" t="s">
        <v>368</v>
      </c>
      <c r="C665" s="4" t="s">
        <v>259</v>
      </c>
      <c r="D665" s="4" t="s">
        <v>326</v>
      </c>
      <c r="E665" s="4" t="s">
        <v>277</v>
      </c>
      <c r="F665" s="4"/>
      <c r="G665" s="6" t="s">
        <v>437</v>
      </c>
      <c r="H665" s="53">
        <v>311</v>
      </c>
      <c r="I665" s="53"/>
      <c r="J665" s="53">
        <v>304.1</v>
      </c>
      <c r="K665" s="53"/>
      <c r="L665" s="83"/>
    </row>
    <row r="666" spans="1:12" ht="27" customHeight="1">
      <c r="A666" s="2" t="s">
        <v>431</v>
      </c>
      <c r="B666" s="4" t="s">
        <v>368</v>
      </c>
      <c r="C666" s="4" t="s">
        <v>259</v>
      </c>
      <c r="D666" s="4" t="s">
        <v>326</v>
      </c>
      <c r="E666" s="4" t="s">
        <v>277</v>
      </c>
      <c r="F666" s="4"/>
      <c r="G666" s="6" t="s">
        <v>421</v>
      </c>
      <c r="H666" s="53">
        <v>147.8</v>
      </c>
      <c r="I666" s="53"/>
      <c r="J666" s="53">
        <v>147.8</v>
      </c>
      <c r="K666" s="53"/>
      <c r="L666" s="83"/>
    </row>
    <row r="667" spans="1:12" ht="108" customHeight="1">
      <c r="A667" s="1" t="s">
        <v>454</v>
      </c>
      <c r="B667" s="4" t="s">
        <v>332</v>
      </c>
      <c r="C667" s="4" t="s">
        <v>259</v>
      </c>
      <c r="D667" s="4" t="s">
        <v>326</v>
      </c>
      <c r="E667" s="4" t="s">
        <v>346</v>
      </c>
      <c r="F667" s="4"/>
      <c r="G667" s="6"/>
      <c r="H667" s="53">
        <f>H668</f>
        <v>5</v>
      </c>
      <c r="I667" s="53">
        <f>I668</f>
        <v>0</v>
      </c>
      <c r="J667" s="53">
        <f>J668</f>
        <v>0</v>
      </c>
      <c r="K667" s="53">
        <f>K668</f>
        <v>0</v>
      </c>
      <c r="L667" s="83"/>
    </row>
    <row r="668" spans="1:12" ht="19.5" customHeight="1">
      <c r="A668" s="2" t="s">
        <v>426</v>
      </c>
      <c r="B668" s="4" t="s">
        <v>332</v>
      </c>
      <c r="C668" s="4" t="s">
        <v>259</v>
      </c>
      <c r="D668" s="4" t="s">
        <v>326</v>
      </c>
      <c r="E668" s="4" t="s">
        <v>346</v>
      </c>
      <c r="F668" s="4"/>
      <c r="G668" s="6" t="s">
        <v>425</v>
      </c>
      <c r="H668" s="53">
        <v>5</v>
      </c>
      <c r="I668" s="53"/>
      <c r="J668" s="53"/>
      <c r="K668" s="53"/>
      <c r="L668" s="83"/>
    </row>
    <row r="669" spans="1:12" s="49" customFormat="1" ht="53.25" customHeight="1">
      <c r="A669" s="45" t="s">
        <v>467</v>
      </c>
      <c r="B669" s="3" t="s">
        <v>341</v>
      </c>
      <c r="C669" s="3"/>
      <c r="D669" s="3"/>
      <c r="E669" s="3"/>
      <c r="F669" s="3"/>
      <c r="G669" s="5"/>
      <c r="H669" s="48">
        <f>H670+H688+H693</f>
        <v>15529.6</v>
      </c>
      <c r="I669" s="48">
        <f>I670+I688+I693</f>
        <v>0</v>
      </c>
      <c r="J669" s="48">
        <f>J670+J688+J693</f>
        <v>15097.2</v>
      </c>
      <c r="K669" s="48">
        <f>K670+K688+K693</f>
        <v>0</v>
      </c>
      <c r="L669" s="63">
        <f>J669/H669*100</f>
        <v>97.21563981042655</v>
      </c>
    </row>
    <row r="670" spans="1:12" s="49" customFormat="1" ht="15">
      <c r="A670" s="47" t="s">
        <v>153</v>
      </c>
      <c r="B670" s="3" t="s">
        <v>341</v>
      </c>
      <c r="C670" s="3" t="s">
        <v>259</v>
      </c>
      <c r="D670" s="3"/>
      <c r="E670" s="3"/>
      <c r="F670" s="3"/>
      <c r="G670" s="5"/>
      <c r="H670" s="48">
        <f>H671</f>
        <v>11035.1</v>
      </c>
      <c r="I670" s="48">
        <f>I671</f>
        <v>0</v>
      </c>
      <c r="J670" s="48">
        <f>J671</f>
        <v>10653.500000000002</v>
      </c>
      <c r="K670" s="48">
        <f>K671</f>
        <v>0</v>
      </c>
      <c r="L670" s="63">
        <f>J670/H670*100</f>
        <v>96.54194343503912</v>
      </c>
    </row>
    <row r="671" spans="1:12" s="49" customFormat="1" ht="15">
      <c r="A671" s="47" t="s">
        <v>190</v>
      </c>
      <c r="B671" s="3" t="s">
        <v>341</v>
      </c>
      <c r="C671" s="3" t="s">
        <v>259</v>
      </c>
      <c r="D671" s="3" t="s">
        <v>326</v>
      </c>
      <c r="E671" s="3"/>
      <c r="F671" s="3"/>
      <c r="G671" s="6"/>
      <c r="H671" s="48">
        <f>H672+H680</f>
        <v>11035.1</v>
      </c>
      <c r="I671" s="48">
        <f>I672+I680</f>
        <v>0</v>
      </c>
      <c r="J671" s="48">
        <f>J672+J680</f>
        <v>10653.500000000002</v>
      </c>
      <c r="K671" s="48">
        <f>K672+K680</f>
        <v>0</v>
      </c>
      <c r="L671" s="63">
        <f>J671/H671*100</f>
        <v>96.54194343503912</v>
      </c>
    </row>
    <row r="672" spans="1:12" s="49" customFormat="1" ht="54.75" customHeight="1">
      <c r="A672" s="2" t="s">
        <v>296</v>
      </c>
      <c r="B672" s="4" t="s">
        <v>341</v>
      </c>
      <c r="C672" s="4" t="s">
        <v>259</v>
      </c>
      <c r="D672" s="4" t="s">
        <v>326</v>
      </c>
      <c r="E672" s="4" t="s">
        <v>293</v>
      </c>
      <c r="F672" s="4"/>
      <c r="G672" s="6"/>
      <c r="H672" s="53">
        <f>H673</f>
        <v>9106.1</v>
      </c>
      <c r="I672" s="53">
        <f>I673</f>
        <v>0</v>
      </c>
      <c r="J672" s="53">
        <f>J673</f>
        <v>8729.300000000001</v>
      </c>
      <c r="K672" s="53">
        <f>K673</f>
        <v>0</v>
      </c>
      <c r="L672" s="63"/>
    </row>
    <row r="673" spans="1:12" s="49" customFormat="1" ht="15">
      <c r="A673" s="2" t="s">
        <v>176</v>
      </c>
      <c r="B673" s="4" t="s">
        <v>341</v>
      </c>
      <c r="C673" s="4" t="s">
        <v>259</v>
      </c>
      <c r="D673" s="4" t="s">
        <v>326</v>
      </c>
      <c r="E673" s="4" t="s">
        <v>295</v>
      </c>
      <c r="F673" s="4"/>
      <c r="G673" s="6"/>
      <c r="H673" s="53">
        <f>H674+H676+H679</f>
        <v>9106.1</v>
      </c>
      <c r="I673" s="53">
        <f>I674+I676+I679</f>
        <v>0</v>
      </c>
      <c r="J673" s="53">
        <f>J674+J676+J679</f>
        <v>8729.300000000001</v>
      </c>
      <c r="K673" s="53">
        <f>K674+K676+K679</f>
        <v>0</v>
      </c>
      <c r="L673" s="63"/>
    </row>
    <row r="674" spans="1:12" s="49" customFormat="1" ht="15">
      <c r="A674" s="2" t="s">
        <v>551</v>
      </c>
      <c r="B674" s="4" t="s">
        <v>341</v>
      </c>
      <c r="C674" s="4" t="s">
        <v>259</v>
      </c>
      <c r="D674" s="4" t="s">
        <v>326</v>
      </c>
      <c r="E674" s="4" t="s">
        <v>295</v>
      </c>
      <c r="F674" s="4"/>
      <c r="G674" s="6" t="s">
        <v>393</v>
      </c>
      <c r="H674" s="53">
        <f>H675</f>
        <v>8522</v>
      </c>
      <c r="I674" s="53">
        <f>I675</f>
        <v>0</v>
      </c>
      <c r="J674" s="53">
        <f>J675</f>
        <v>8150</v>
      </c>
      <c r="K674" s="53">
        <f>K675</f>
        <v>0</v>
      </c>
      <c r="L674" s="63"/>
    </row>
    <row r="675" spans="1:12" s="49" customFormat="1" ht="15">
      <c r="A675" s="2" t="s">
        <v>415</v>
      </c>
      <c r="B675" s="4" t="s">
        <v>341</v>
      </c>
      <c r="C675" s="4" t="s">
        <v>259</v>
      </c>
      <c r="D675" s="4" t="s">
        <v>326</v>
      </c>
      <c r="E675" s="4" t="s">
        <v>295</v>
      </c>
      <c r="F675" s="4"/>
      <c r="G675" s="6" t="s">
        <v>414</v>
      </c>
      <c r="H675" s="53">
        <v>8522</v>
      </c>
      <c r="I675" s="53"/>
      <c r="J675" s="53">
        <v>8150</v>
      </c>
      <c r="K675" s="48"/>
      <c r="L675" s="63"/>
    </row>
    <row r="676" spans="1:12" s="49" customFormat="1" ht="29.25">
      <c r="A676" s="2" t="s">
        <v>599</v>
      </c>
      <c r="B676" s="4" t="s">
        <v>341</v>
      </c>
      <c r="C676" s="4" t="s">
        <v>259</v>
      </c>
      <c r="D676" s="4" t="s">
        <v>326</v>
      </c>
      <c r="E676" s="4" t="s">
        <v>295</v>
      </c>
      <c r="F676" s="4"/>
      <c r="G676" s="6" t="s">
        <v>526</v>
      </c>
      <c r="H676" s="53">
        <f>H677+H678</f>
        <v>572.4</v>
      </c>
      <c r="I676" s="53">
        <f>I677+I678</f>
        <v>0</v>
      </c>
      <c r="J676" s="53">
        <f>J677+J678</f>
        <v>567.6</v>
      </c>
      <c r="K676" s="53">
        <f>K677+K678</f>
        <v>0</v>
      </c>
      <c r="L676" s="63"/>
    </row>
    <row r="677" spans="1:12" s="49" customFormat="1" ht="29.25">
      <c r="A677" s="2" t="s">
        <v>440</v>
      </c>
      <c r="B677" s="4" t="s">
        <v>341</v>
      </c>
      <c r="C677" s="4" t="s">
        <v>259</v>
      </c>
      <c r="D677" s="4" t="s">
        <v>326</v>
      </c>
      <c r="E677" s="4" t="s">
        <v>295</v>
      </c>
      <c r="F677" s="4"/>
      <c r="G677" s="6" t="s">
        <v>437</v>
      </c>
      <c r="H677" s="53">
        <v>327.2</v>
      </c>
      <c r="I677" s="53"/>
      <c r="J677" s="53">
        <v>322.7</v>
      </c>
      <c r="K677" s="48"/>
      <c r="L677" s="63"/>
    </row>
    <row r="678" spans="1:12" s="49" customFormat="1" ht="26.25" customHeight="1">
      <c r="A678" s="2" t="s">
        <v>431</v>
      </c>
      <c r="B678" s="4" t="s">
        <v>341</v>
      </c>
      <c r="C678" s="4" t="s">
        <v>259</v>
      </c>
      <c r="D678" s="4" t="s">
        <v>326</v>
      </c>
      <c r="E678" s="4" t="s">
        <v>295</v>
      </c>
      <c r="F678" s="4"/>
      <c r="G678" s="6" t="s">
        <v>421</v>
      </c>
      <c r="H678" s="53">
        <v>245.2</v>
      </c>
      <c r="I678" s="53"/>
      <c r="J678" s="53">
        <v>244.9</v>
      </c>
      <c r="K678" s="48"/>
      <c r="L678" s="63"/>
    </row>
    <row r="679" spans="1:12" s="49" customFormat="1" ht="29.25">
      <c r="A679" s="2" t="s">
        <v>363</v>
      </c>
      <c r="B679" s="4" t="s">
        <v>341</v>
      </c>
      <c r="C679" s="4" t="s">
        <v>259</v>
      </c>
      <c r="D679" s="4" t="s">
        <v>326</v>
      </c>
      <c r="E679" s="4" t="s">
        <v>295</v>
      </c>
      <c r="F679" s="4"/>
      <c r="G679" s="6" t="s">
        <v>418</v>
      </c>
      <c r="H679" s="53">
        <f>25-13.3</f>
        <v>11.7</v>
      </c>
      <c r="I679" s="53"/>
      <c r="J679" s="53">
        <v>11.7</v>
      </c>
      <c r="K679" s="48"/>
      <c r="L679" s="63"/>
    </row>
    <row r="680" spans="1:12" s="49" customFormat="1" ht="15">
      <c r="A680" s="2" t="s">
        <v>223</v>
      </c>
      <c r="B680" s="4" t="s">
        <v>341</v>
      </c>
      <c r="C680" s="4" t="s">
        <v>259</v>
      </c>
      <c r="D680" s="4" t="s">
        <v>326</v>
      </c>
      <c r="E680" s="4" t="s">
        <v>224</v>
      </c>
      <c r="F680" s="4"/>
      <c r="G680" s="6"/>
      <c r="H680" s="53">
        <f>H681+H686</f>
        <v>1929</v>
      </c>
      <c r="I680" s="53">
        <f>I681+I686</f>
        <v>0</v>
      </c>
      <c r="J680" s="53">
        <f>J681+J686</f>
        <v>1924.2</v>
      </c>
      <c r="K680" s="53">
        <f>K681+K686</f>
        <v>0</v>
      </c>
      <c r="L680" s="63"/>
    </row>
    <row r="681" spans="1:12" s="49" customFormat="1" ht="43.5">
      <c r="A681" s="2" t="s">
        <v>352</v>
      </c>
      <c r="B681" s="4" t="s">
        <v>341</v>
      </c>
      <c r="C681" s="4" t="s">
        <v>259</v>
      </c>
      <c r="D681" s="4" t="s">
        <v>326</v>
      </c>
      <c r="E681" s="4" t="s">
        <v>277</v>
      </c>
      <c r="F681" s="4"/>
      <c r="G681" s="6"/>
      <c r="H681" s="53">
        <f>H682+H683</f>
        <v>1529</v>
      </c>
      <c r="I681" s="53">
        <f>I682+I683</f>
        <v>0</v>
      </c>
      <c r="J681" s="53">
        <f>J682+J683</f>
        <v>1527.5</v>
      </c>
      <c r="K681" s="53">
        <f>K682+K683</f>
        <v>0</v>
      </c>
      <c r="L681" s="63"/>
    </row>
    <row r="682" spans="1:12" s="49" customFormat="1" ht="29.25">
      <c r="A682" s="2" t="s">
        <v>417</v>
      </c>
      <c r="B682" s="4" t="s">
        <v>341</v>
      </c>
      <c r="C682" s="4" t="s">
        <v>259</v>
      </c>
      <c r="D682" s="4" t="s">
        <v>326</v>
      </c>
      <c r="E682" s="4" t="s">
        <v>277</v>
      </c>
      <c r="F682" s="4"/>
      <c r="G682" s="6" t="s">
        <v>416</v>
      </c>
      <c r="H682" s="53">
        <f>1331.7-194.5</f>
        <v>1137.2</v>
      </c>
      <c r="I682" s="53"/>
      <c r="J682" s="53">
        <v>1137.2</v>
      </c>
      <c r="K682" s="48"/>
      <c r="L682" s="63"/>
    </row>
    <row r="683" spans="1:12" s="49" customFormat="1" ht="29.25">
      <c r="A683" s="2" t="s">
        <v>599</v>
      </c>
      <c r="B683" s="4" t="s">
        <v>341</v>
      </c>
      <c r="C683" s="4" t="s">
        <v>259</v>
      </c>
      <c r="D683" s="4" t="s">
        <v>326</v>
      </c>
      <c r="E683" s="4" t="s">
        <v>277</v>
      </c>
      <c r="F683" s="4"/>
      <c r="G683" s="6" t="s">
        <v>526</v>
      </c>
      <c r="H683" s="53">
        <f>H684+H685</f>
        <v>391.8</v>
      </c>
      <c r="I683" s="53">
        <f>I684+I685</f>
        <v>0</v>
      </c>
      <c r="J683" s="53">
        <f>J684+J685</f>
        <v>390.3</v>
      </c>
      <c r="K683" s="53">
        <f>K684+K685</f>
        <v>0</v>
      </c>
      <c r="L683" s="63"/>
    </row>
    <row r="684" spans="1:12" s="49" customFormat="1" ht="29.25">
      <c r="A684" s="2" t="s">
        <v>440</v>
      </c>
      <c r="B684" s="4" t="s">
        <v>341</v>
      </c>
      <c r="C684" s="4" t="s">
        <v>259</v>
      </c>
      <c r="D684" s="4" t="s">
        <v>326</v>
      </c>
      <c r="E684" s="4" t="s">
        <v>277</v>
      </c>
      <c r="F684" s="4"/>
      <c r="G684" s="6" t="s">
        <v>437</v>
      </c>
      <c r="H684" s="53">
        <v>336.8</v>
      </c>
      <c r="I684" s="53"/>
      <c r="J684" s="53">
        <v>335.8</v>
      </c>
      <c r="K684" s="48"/>
      <c r="L684" s="63"/>
    </row>
    <row r="685" spans="1:12" s="49" customFormat="1" ht="30" customHeight="1">
      <c r="A685" s="2" t="s">
        <v>431</v>
      </c>
      <c r="B685" s="4" t="s">
        <v>341</v>
      </c>
      <c r="C685" s="4" t="s">
        <v>259</v>
      </c>
      <c r="D685" s="4" t="s">
        <v>326</v>
      </c>
      <c r="E685" s="4" t="s">
        <v>277</v>
      </c>
      <c r="F685" s="4"/>
      <c r="G685" s="6" t="s">
        <v>421</v>
      </c>
      <c r="H685" s="53">
        <v>55</v>
      </c>
      <c r="I685" s="53"/>
      <c r="J685" s="53">
        <v>54.5</v>
      </c>
      <c r="K685" s="48"/>
      <c r="L685" s="63"/>
    </row>
    <row r="686" spans="1:12" s="49" customFormat="1" ht="98.25" customHeight="1">
      <c r="A686" s="1" t="s">
        <v>454</v>
      </c>
      <c r="B686" s="4" t="s">
        <v>341</v>
      </c>
      <c r="C686" s="4" t="s">
        <v>259</v>
      </c>
      <c r="D686" s="4" t="s">
        <v>326</v>
      </c>
      <c r="E686" s="4" t="s">
        <v>346</v>
      </c>
      <c r="F686" s="4"/>
      <c r="G686" s="6"/>
      <c r="H686" s="53">
        <f>H687</f>
        <v>400</v>
      </c>
      <c r="I686" s="53">
        <f>I687</f>
        <v>0</v>
      </c>
      <c r="J686" s="53">
        <f>J687</f>
        <v>396.7</v>
      </c>
      <c r="K686" s="53">
        <f>K687</f>
        <v>0</v>
      </c>
      <c r="L686" s="63"/>
    </row>
    <row r="687" spans="1:12" s="49" customFormat="1" ht="30" customHeight="1">
      <c r="A687" s="2" t="s">
        <v>431</v>
      </c>
      <c r="B687" s="4" t="s">
        <v>341</v>
      </c>
      <c r="C687" s="4" t="s">
        <v>259</v>
      </c>
      <c r="D687" s="4" t="s">
        <v>326</v>
      </c>
      <c r="E687" s="4" t="s">
        <v>346</v>
      </c>
      <c r="F687" s="4"/>
      <c r="G687" s="6" t="s">
        <v>421</v>
      </c>
      <c r="H687" s="53">
        <f>240+160</f>
        <v>400</v>
      </c>
      <c r="I687" s="53"/>
      <c r="J687" s="53">
        <v>396.7</v>
      </c>
      <c r="K687" s="48"/>
      <c r="L687" s="63"/>
    </row>
    <row r="688" spans="1:12" s="49" customFormat="1" ht="15">
      <c r="A688" s="47" t="s">
        <v>155</v>
      </c>
      <c r="B688" s="3" t="s">
        <v>341</v>
      </c>
      <c r="C688" s="3" t="s">
        <v>269</v>
      </c>
      <c r="D688" s="4"/>
      <c r="E688" s="4"/>
      <c r="F688" s="4"/>
      <c r="G688" s="5"/>
      <c r="H688" s="53">
        <f>H689</f>
        <v>4194.5</v>
      </c>
      <c r="I688" s="53">
        <f aca="true" t="shared" si="47" ref="I688:K691">I689</f>
        <v>0</v>
      </c>
      <c r="J688" s="53">
        <f t="shared" si="47"/>
        <v>4148.7</v>
      </c>
      <c r="K688" s="53">
        <f t="shared" si="47"/>
        <v>0</v>
      </c>
      <c r="L688" s="63"/>
    </row>
    <row r="689" spans="1:12" s="49" customFormat="1" ht="15">
      <c r="A689" s="47" t="s">
        <v>226</v>
      </c>
      <c r="B689" s="3" t="s">
        <v>341</v>
      </c>
      <c r="C689" s="3" t="s">
        <v>269</v>
      </c>
      <c r="D689" s="3" t="s">
        <v>264</v>
      </c>
      <c r="E689" s="3"/>
      <c r="F689" s="3"/>
      <c r="G689" s="6"/>
      <c r="H689" s="53">
        <f>H690</f>
        <v>4194.5</v>
      </c>
      <c r="I689" s="53">
        <f t="shared" si="47"/>
        <v>0</v>
      </c>
      <c r="J689" s="53">
        <f t="shared" si="47"/>
        <v>4148.7</v>
      </c>
      <c r="K689" s="53">
        <f t="shared" si="47"/>
        <v>0</v>
      </c>
      <c r="L689" s="63"/>
    </row>
    <row r="690" spans="1:12" s="49" customFormat="1" ht="15">
      <c r="A690" s="2" t="s">
        <v>223</v>
      </c>
      <c r="B690" s="4" t="s">
        <v>341</v>
      </c>
      <c r="C690" s="4" t="s">
        <v>269</v>
      </c>
      <c r="D690" s="4" t="s">
        <v>264</v>
      </c>
      <c r="E690" s="4" t="s">
        <v>224</v>
      </c>
      <c r="F690" s="4"/>
      <c r="G690" s="6"/>
      <c r="H690" s="53">
        <f>H691</f>
        <v>4194.5</v>
      </c>
      <c r="I690" s="53">
        <f t="shared" si="47"/>
        <v>0</v>
      </c>
      <c r="J690" s="53">
        <f t="shared" si="47"/>
        <v>4148.7</v>
      </c>
      <c r="K690" s="53">
        <f t="shared" si="47"/>
        <v>0</v>
      </c>
      <c r="L690" s="63"/>
    </row>
    <row r="691" spans="1:12" s="49" customFormat="1" ht="43.5">
      <c r="A691" s="2" t="s">
        <v>371</v>
      </c>
      <c r="B691" s="4" t="s">
        <v>341</v>
      </c>
      <c r="C691" s="4" t="s">
        <v>269</v>
      </c>
      <c r="D691" s="4" t="s">
        <v>264</v>
      </c>
      <c r="E691" s="4" t="s">
        <v>374</v>
      </c>
      <c r="F691" s="4"/>
      <c r="G691" s="6"/>
      <c r="H691" s="53">
        <f>H692</f>
        <v>4194.5</v>
      </c>
      <c r="I691" s="53">
        <f t="shared" si="47"/>
        <v>0</v>
      </c>
      <c r="J691" s="53">
        <f t="shared" si="47"/>
        <v>4148.7</v>
      </c>
      <c r="K691" s="53">
        <f t="shared" si="47"/>
        <v>0</v>
      </c>
      <c r="L691" s="63"/>
    </row>
    <row r="692" spans="1:12" s="49" customFormat="1" ht="32.25" customHeight="1">
      <c r="A692" s="2" t="s">
        <v>431</v>
      </c>
      <c r="B692" s="4" t="s">
        <v>341</v>
      </c>
      <c r="C692" s="4" t="s">
        <v>269</v>
      </c>
      <c r="D692" s="4" t="s">
        <v>264</v>
      </c>
      <c r="E692" s="4" t="s">
        <v>374</v>
      </c>
      <c r="F692" s="4"/>
      <c r="G692" s="6" t="s">
        <v>421</v>
      </c>
      <c r="H692" s="53">
        <f>4000+78.5+16+100</f>
        <v>4194.5</v>
      </c>
      <c r="I692" s="53"/>
      <c r="J692" s="53">
        <v>4148.7</v>
      </c>
      <c r="K692" s="48"/>
      <c r="L692" s="63"/>
    </row>
    <row r="693" spans="1:12" s="49" customFormat="1" ht="16.5" customHeight="1">
      <c r="A693" s="47" t="s">
        <v>170</v>
      </c>
      <c r="B693" s="3" t="s">
        <v>341</v>
      </c>
      <c r="C693" s="3" t="s">
        <v>272</v>
      </c>
      <c r="D693" s="3"/>
      <c r="E693" s="3"/>
      <c r="F693" s="3"/>
      <c r="G693" s="5"/>
      <c r="H693" s="53">
        <f>H694</f>
        <v>300</v>
      </c>
      <c r="I693" s="53">
        <f aca="true" t="shared" si="48" ref="I693:K696">I694</f>
        <v>0</v>
      </c>
      <c r="J693" s="53">
        <f t="shared" si="48"/>
        <v>295</v>
      </c>
      <c r="K693" s="53">
        <f t="shared" si="48"/>
        <v>0</v>
      </c>
      <c r="L693" s="63"/>
    </row>
    <row r="694" spans="1:12" s="49" customFormat="1" ht="27" customHeight="1">
      <c r="A694" s="47" t="s">
        <v>171</v>
      </c>
      <c r="B694" s="3" t="s">
        <v>341</v>
      </c>
      <c r="C694" s="3" t="s">
        <v>272</v>
      </c>
      <c r="D694" s="3" t="s">
        <v>269</v>
      </c>
      <c r="E694" s="3"/>
      <c r="F694" s="3"/>
      <c r="G694" s="6"/>
      <c r="H694" s="53">
        <f>H695</f>
        <v>300</v>
      </c>
      <c r="I694" s="53">
        <f t="shared" si="48"/>
        <v>0</v>
      </c>
      <c r="J694" s="53">
        <f t="shared" si="48"/>
        <v>295</v>
      </c>
      <c r="K694" s="53">
        <f t="shared" si="48"/>
        <v>0</v>
      </c>
      <c r="L694" s="63"/>
    </row>
    <row r="695" spans="1:12" s="49" customFormat="1" ht="18" customHeight="1">
      <c r="A695" s="2" t="s">
        <v>223</v>
      </c>
      <c r="B695" s="4" t="s">
        <v>341</v>
      </c>
      <c r="C695" s="4" t="s">
        <v>272</v>
      </c>
      <c r="D695" s="4" t="s">
        <v>269</v>
      </c>
      <c r="E695" s="4" t="s">
        <v>224</v>
      </c>
      <c r="F695" s="4"/>
      <c r="G695" s="6"/>
      <c r="H695" s="53">
        <f>H696</f>
        <v>300</v>
      </c>
      <c r="I695" s="53">
        <f t="shared" si="48"/>
        <v>0</v>
      </c>
      <c r="J695" s="53">
        <f t="shared" si="48"/>
        <v>295</v>
      </c>
      <c r="K695" s="53">
        <f t="shared" si="48"/>
        <v>0</v>
      </c>
      <c r="L695" s="63"/>
    </row>
    <row r="696" spans="1:12" s="49" customFormat="1" ht="65.25" customHeight="1">
      <c r="A696" s="7" t="s">
        <v>392</v>
      </c>
      <c r="B696" s="4" t="s">
        <v>341</v>
      </c>
      <c r="C696" s="4" t="s">
        <v>272</v>
      </c>
      <c r="D696" s="4" t="s">
        <v>269</v>
      </c>
      <c r="E696" s="4" t="s">
        <v>375</v>
      </c>
      <c r="F696" s="4"/>
      <c r="G696" s="6"/>
      <c r="H696" s="53">
        <f>H697</f>
        <v>300</v>
      </c>
      <c r="I696" s="53">
        <f t="shared" si="48"/>
        <v>0</v>
      </c>
      <c r="J696" s="53">
        <f t="shared" si="48"/>
        <v>295</v>
      </c>
      <c r="K696" s="53">
        <f t="shared" si="48"/>
        <v>0</v>
      </c>
      <c r="L696" s="63"/>
    </row>
    <row r="697" spans="1:12" s="49" customFormat="1" ht="33" customHeight="1">
      <c r="A697" s="2" t="s">
        <v>431</v>
      </c>
      <c r="B697" s="4" t="s">
        <v>341</v>
      </c>
      <c r="C697" s="4" t="s">
        <v>272</v>
      </c>
      <c r="D697" s="4" t="s">
        <v>269</v>
      </c>
      <c r="E697" s="4" t="s">
        <v>375</v>
      </c>
      <c r="F697" s="4"/>
      <c r="G697" s="6" t="s">
        <v>421</v>
      </c>
      <c r="H697" s="53">
        <f>300</f>
        <v>300</v>
      </c>
      <c r="I697" s="53"/>
      <c r="J697" s="53">
        <v>295</v>
      </c>
      <c r="K697" s="48"/>
      <c r="L697" s="63"/>
    </row>
    <row r="698" spans="1:12" ht="30">
      <c r="A698" s="45" t="s">
        <v>382</v>
      </c>
      <c r="B698" s="3" t="s">
        <v>342</v>
      </c>
      <c r="C698" s="3"/>
      <c r="D698" s="3"/>
      <c r="E698" s="3"/>
      <c r="F698" s="3"/>
      <c r="G698" s="5"/>
      <c r="H698" s="48">
        <f>H699+H717</f>
        <v>21350</v>
      </c>
      <c r="I698" s="48">
        <f>I699+I717</f>
        <v>1269</v>
      </c>
      <c r="J698" s="48">
        <f>J699+J717</f>
        <v>20849.9</v>
      </c>
      <c r="K698" s="48">
        <f>K699+K717</f>
        <v>1269</v>
      </c>
      <c r="L698" s="63">
        <f>J698/H698*100</f>
        <v>97.65761124121781</v>
      </c>
    </row>
    <row r="699" spans="1:12" ht="15">
      <c r="A699" s="47" t="s">
        <v>153</v>
      </c>
      <c r="B699" s="3" t="s">
        <v>342</v>
      </c>
      <c r="C699" s="3" t="s">
        <v>259</v>
      </c>
      <c r="D699" s="3"/>
      <c r="E699" s="3"/>
      <c r="F699" s="3"/>
      <c r="G699" s="5"/>
      <c r="H699" s="48">
        <f>H700+H710</f>
        <v>18550</v>
      </c>
      <c r="I699" s="48">
        <f>I700+I710</f>
        <v>0</v>
      </c>
      <c r="J699" s="48">
        <f>J700+J710</f>
        <v>18049.9</v>
      </c>
      <c r="K699" s="48">
        <f>K700+K710</f>
        <v>0</v>
      </c>
      <c r="L699" s="63">
        <f>J699/H699*100</f>
        <v>97.30404312668465</v>
      </c>
    </row>
    <row r="700" spans="1:12" ht="45">
      <c r="A700" s="47" t="s">
        <v>316</v>
      </c>
      <c r="B700" s="3" t="s">
        <v>342</v>
      </c>
      <c r="C700" s="3" t="s">
        <v>259</v>
      </c>
      <c r="D700" s="3" t="s">
        <v>272</v>
      </c>
      <c r="E700" s="3"/>
      <c r="F700" s="3"/>
      <c r="G700" s="5"/>
      <c r="H700" s="48">
        <f>H701</f>
        <v>14465</v>
      </c>
      <c r="I700" s="48">
        <f aca="true" t="shared" si="49" ref="I700:K701">I701</f>
        <v>0</v>
      </c>
      <c r="J700" s="48">
        <f t="shared" si="49"/>
        <v>14011.6</v>
      </c>
      <c r="K700" s="48">
        <f t="shared" si="49"/>
        <v>0</v>
      </c>
      <c r="L700" s="63">
        <f>J700/H700*100</f>
        <v>96.86553750432077</v>
      </c>
    </row>
    <row r="701" spans="1:12" ht="55.5" customHeight="1">
      <c r="A701" s="2" t="s">
        <v>296</v>
      </c>
      <c r="B701" s="4" t="s">
        <v>342</v>
      </c>
      <c r="C701" s="4" t="s">
        <v>259</v>
      </c>
      <c r="D701" s="4" t="s">
        <v>272</v>
      </c>
      <c r="E701" s="4" t="s">
        <v>293</v>
      </c>
      <c r="F701" s="3"/>
      <c r="G701" s="6"/>
      <c r="H701" s="48">
        <f>H702</f>
        <v>14465</v>
      </c>
      <c r="I701" s="48">
        <f t="shared" si="49"/>
        <v>0</v>
      </c>
      <c r="J701" s="48">
        <f t="shared" si="49"/>
        <v>14011.6</v>
      </c>
      <c r="K701" s="48">
        <f t="shared" si="49"/>
        <v>0</v>
      </c>
      <c r="L701" s="63">
        <f>J701/H701*100</f>
        <v>96.86553750432077</v>
      </c>
    </row>
    <row r="702" spans="1:12" ht="14.25">
      <c r="A702" s="2" t="s">
        <v>176</v>
      </c>
      <c r="B702" s="4" t="s">
        <v>342</v>
      </c>
      <c r="C702" s="4" t="s">
        <v>259</v>
      </c>
      <c r="D702" s="4" t="s">
        <v>272</v>
      </c>
      <c r="E702" s="4" t="s">
        <v>295</v>
      </c>
      <c r="F702" s="4"/>
      <c r="G702" s="6"/>
      <c r="H702" s="53">
        <f>H703+H706+H709</f>
        <v>14465</v>
      </c>
      <c r="I702" s="53">
        <f>I703+I706+I709</f>
        <v>0</v>
      </c>
      <c r="J702" s="53">
        <f>J703+J706+J709</f>
        <v>14011.6</v>
      </c>
      <c r="K702" s="53">
        <f>K703+K706+K709</f>
        <v>0</v>
      </c>
      <c r="L702" s="83"/>
    </row>
    <row r="703" spans="1:12" ht="14.25">
      <c r="A703" s="2" t="s">
        <v>551</v>
      </c>
      <c r="B703" s="4" t="s">
        <v>342</v>
      </c>
      <c r="C703" s="4" t="s">
        <v>259</v>
      </c>
      <c r="D703" s="4" t="s">
        <v>272</v>
      </c>
      <c r="E703" s="4" t="s">
        <v>295</v>
      </c>
      <c r="F703" s="4"/>
      <c r="G703" s="6" t="s">
        <v>393</v>
      </c>
      <c r="H703" s="53">
        <f>H704+H705</f>
        <v>13814</v>
      </c>
      <c r="I703" s="53">
        <f>I704+I705</f>
        <v>0</v>
      </c>
      <c r="J703" s="53">
        <f>J704+J705</f>
        <v>13431.2</v>
      </c>
      <c r="K703" s="53">
        <f>K704+K705</f>
        <v>0</v>
      </c>
      <c r="L703" s="83"/>
    </row>
    <row r="704" spans="1:12" ht="14.25">
      <c r="A704" s="2" t="s">
        <v>415</v>
      </c>
      <c r="B704" s="4" t="s">
        <v>342</v>
      </c>
      <c r="C704" s="4" t="s">
        <v>259</v>
      </c>
      <c r="D704" s="4" t="s">
        <v>272</v>
      </c>
      <c r="E704" s="4" t="s">
        <v>295</v>
      </c>
      <c r="F704" s="4"/>
      <c r="G704" s="6" t="s">
        <v>414</v>
      </c>
      <c r="H704" s="53">
        <f>15081.6-600-200-500</f>
        <v>13781.6</v>
      </c>
      <c r="I704" s="53"/>
      <c r="J704" s="53">
        <v>13431.2</v>
      </c>
      <c r="K704" s="53"/>
      <c r="L704" s="83"/>
    </row>
    <row r="705" spans="1:12" ht="28.5">
      <c r="A705" s="2" t="s">
        <v>417</v>
      </c>
      <c r="B705" s="4" t="s">
        <v>342</v>
      </c>
      <c r="C705" s="4" t="s">
        <v>259</v>
      </c>
      <c r="D705" s="4" t="s">
        <v>272</v>
      </c>
      <c r="E705" s="4" t="s">
        <v>295</v>
      </c>
      <c r="F705" s="4"/>
      <c r="G705" s="6" t="s">
        <v>416</v>
      </c>
      <c r="H705" s="53">
        <v>32.4</v>
      </c>
      <c r="I705" s="53"/>
      <c r="J705" s="53"/>
      <c r="K705" s="53"/>
      <c r="L705" s="83"/>
    </row>
    <row r="706" spans="1:12" ht="28.5">
      <c r="A706" s="2" t="s">
        <v>599</v>
      </c>
      <c r="B706" s="4" t="s">
        <v>342</v>
      </c>
      <c r="C706" s="4" t="s">
        <v>259</v>
      </c>
      <c r="D706" s="4" t="s">
        <v>272</v>
      </c>
      <c r="E706" s="4" t="s">
        <v>295</v>
      </c>
      <c r="F706" s="4"/>
      <c r="G706" s="6" t="s">
        <v>526</v>
      </c>
      <c r="H706" s="53">
        <f>H707+H708</f>
        <v>623</v>
      </c>
      <c r="I706" s="53">
        <f>I707+I708</f>
        <v>0</v>
      </c>
      <c r="J706" s="53">
        <f>J707+J708</f>
        <v>571.4</v>
      </c>
      <c r="K706" s="53">
        <f>K707+K708</f>
        <v>0</v>
      </c>
      <c r="L706" s="83"/>
    </row>
    <row r="707" spans="1:12" ht="28.5">
      <c r="A707" s="2" t="s">
        <v>440</v>
      </c>
      <c r="B707" s="4" t="s">
        <v>342</v>
      </c>
      <c r="C707" s="4" t="s">
        <v>259</v>
      </c>
      <c r="D707" s="4" t="s">
        <v>272</v>
      </c>
      <c r="E707" s="4" t="s">
        <v>295</v>
      </c>
      <c r="F707" s="4"/>
      <c r="G707" s="6" t="s">
        <v>437</v>
      </c>
      <c r="H707" s="53">
        <v>355.4</v>
      </c>
      <c r="I707" s="53"/>
      <c r="J707" s="53">
        <v>344.3</v>
      </c>
      <c r="K707" s="53"/>
      <c r="L707" s="83"/>
    </row>
    <row r="708" spans="1:12" ht="30.75" customHeight="1">
      <c r="A708" s="2" t="s">
        <v>431</v>
      </c>
      <c r="B708" s="4" t="s">
        <v>342</v>
      </c>
      <c r="C708" s="4" t="s">
        <v>259</v>
      </c>
      <c r="D708" s="4" t="s">
        <v>272</v>
      </c>
      <c r="E708" s="4" t="s">
        <v>295</v>
      </c>
      <c r="F708" s="4"/>
      <c r="G708" s="6" t="s">
        <v>421</v>
      </c>
      <c r="H708" s="53">
        <v>267.6</v>
      </c>
      <c r="I708" s="53"/>
      <c r="J708" s="53">
        <v>227.1</v>
      </c>
      <c r="K708" s="53"/>
      <c r="L708" s="83"/>
    </row>
    <row r="709" spans="1:12" ht="28.5">
      <c r="A709" s="2" t="s">
        <v>363</v>
      </c>
      <c r="B709" s="4" t="s">
        <v>342</v>
      </c>
      <c r="C709" s="4" t="s">
        <v>259</v>
      </c>
      <c r="D709" s="4" t="s">
        <v>272</v>
      </c>
      <c r="E709" s="4" t="s">
        <v>295</v>
      </c>
      <c r="F709" s="4"/>
      <c r="G709" s="6" t="s">
        <v>418</v>
      </c>
      <c r="H709" s="53">
        <f>50-22</f>
        <v>28</v>
      </c>
      <c r="I709" s="53"/>
      <c r="J709" s="53">
        <v>9</v>
      </c>
      <c r="K709" s="53"/>
      <c r="L709" s="83"/>
    </row>
    <row r="710" spans="1:12" ht="15">
      <c r="A710" s="47" t="s">
        <v>190</v>
      </c>
      <c r="B710" s="3" t="s">
        <v>342</v>
      </c>
      <c r="C710" s="3" t="s">
        <v>259</v>
      </c>
      <c r="D710" s="3" t="s">
        <v>326</v>
      </c>
      <c r="E710" s="4"/>
      <c r="F710" s="4"/>
      <c r="G710" s="6"/>
      <c r="H710" s="48">
        <f>H711</f>
        <v>4084.9999999999995</v>
      </c>
      <c r="I710" s="48">
        <f aca="true" t="shared" si="50" ref="I710:K711">I711</f>
        <v>0</v>
      </c>
      <c r="J710" s="48">
        <f t="shared" si="50"/>
        <v>4038.3</v>
      </c>
      <c r="K710" s="48">
        <f t="shared" si="50"/>
        <v>0</v>
      </c>
      <c r="L710" s="63">
        <f>J710/H710*100</f>
        <v>98.85679314565485</v>
      </c>
    </row>
    <row r="711" spans="1:12" ht="14.25">
      <c r="A711" s="2" t="s">
        <v>223</v>
      </c>
      <c r="B711" s="4" t="s">
        <v>342</v>
      </c>
      <c r="C711" s="4" t="s">
        <v>259</v>
      </c>
      <c r="D711" s="4" t="s">
        <v>326</v>
      </c>
      <c r="E711" s="4" t="s">
        <v>224</v>
      </c>
      <c r="F711" s="4"/>
      <c r="G711" s="6"/>
      <c r="H711" s="53">
        <f>H712</f>
        <v>4084.9999999999995</v>
      </c>
      <c r="I711" s="53">
        <f t="shared" si="50"/>
        <v>0</v>
      </c>
      <c r="J711" s="53">
        <f t="shared" si="50"/>
        <v>4038.3</v>
      </c>
      <c r="K711" s="53">
        <f t="shared" si="50"/>
        <v>0</v>
      </c>
      <c r="L711" s="83"/>
    </row>
    <row r="712" spans="1:12" ht="42.75">
      <c r="A712" s="2" t="s">
        <v>352</v>
      </c>
      <c r="B712" s="4" t="s">
        <v>342</v>
      </c>
      <c r="C712" s="4" t="s">
        <v>259</v>
      </c>
      <c r="D712" s="4" t="s">
        <v>326</v>
      </c>
      <c r="E712" s="4" t="s">
        <v>277</v>
      </c>
      <c r="F712" s="4"/>
      <c r="G712" s="6"/>
      <c r="H712" s="53">
        <f>H713+H714</f>
        <v>4084.9999999999995</v>
      </c>
      <c r="I712" s="53">
        <f>I713+I714</f>
        <v>0</v>
      </c>
      <c r="J712" s="53">
        <f>J713+J714</f>
        <v>4038.3</v>
      </c>
      <c r="K712" s="53">
        <f>K713+K714</f>
        <v>0</v>
      </c>
      <c r="L712" s="83"/>
    </row>
    <row r="713" spans="1:12" ht="28.5">
      <c r="A713" s="2" t="s">
        <v>417</v>
      </c>
      <c r="B713" s="4" t="s">
        <v>342</v>
      </c>
      <c r="C713" s="4" t="s">
        <v>259</v>
      </c>
      <c r="D713" s="4" t="s">
        <v>326</v>
      </c>
      <c r="E713" s="4" t="s">
        <v>277</v>
      </c>
      <c r="F713" s="4"/>
      <c r="G713" s="6" t="s">
        <v>416</v>
      </c>
      <c r="H713" s="53">
        <f>3461.1-518.7-176-100</f>
        <v>2666.3999999999996</v>
      </c>
      <c r="I713" s="53"/>
      <c r="J713" s="53">
        <v>2638.5</v>
      </c>
      <c r="K713" s="53"/>
      <c r="L713" s="83"/>
    </row>
    <row r="714" spans="1:12" ht="28.5">
      <c r="A714" s="2" t="s">
        <v>599</v>
      </c>
      <c r="B714" s="4" t="s">
        <v>342</v>
      </c>
      <c r="C714" s="4" t="s">
        <v>259</v>
      </c>
      <c r="D714" s="4" t="s">
        <v>326</v>
      </c>
      <c r="E714" s="4" t="s">
        <v>277</v>
      </c>
      <c r="F714" s="4"/>
      <c r="G714" s="6" t="s">
        <v>526</v>
      </c>
      <c r="H714" s="53">
        <f>H715+H716</f>
        <v>1418.6</v>
      </c>
      <c r="I714" s="53">
        <f>I715+I716</f>
        <v>0</v>
      </c>
      <c r="J714" s="53">
        <f>J715+J716</f>
        <v>1399.8</v>
      </c>
      <c r="K714" s="53">
        <f>K715+K716</f>
        <v>0</v>
      </c>
      <c r="L714" s="83"/>
    </row>
    <row r="715" spans="1:12" ht="28.5">
      <c r="A715" s="2" t="s">
        <v>440</v>
      </c>
      <c r="B715" s="4" t="s">
        <v>342</v>
      </c>
      <c r="C715" s="4" t="s">
        <v>259</v>
      </c>
      <c r="D715" s="4" t="s">
        <v>326</v>
      </c>
      <c r="E715" s="4" t="s">
        <v>277</v>
      </c>
      <c r="F715" s="4"/>
      <c r="G715" s="6" t="s">
        <v>437</v>
      </c>
      <c r="H715" s="53">
        <f>720.2+352.5-160-0.3+48.8</f>
        <v>961.2</v>
      </c>
      <c r="I715" s="53"/>
      <c r="J715" s="53">
        <v>946.5</v>
      </c>
      <c r="K715" s="53"/>
      <c r="L715" s="83"/>
    </row>
    <row r="716" spans="1:12" ht="31.5" customHeight="1">
      <c r="A716" s="2" t="s">
        <v>431</v>
      </c>
      <c r="B716" s="4" t="s">
        <v>342</v>
      </c>
      <c r="C716" s="4" t="s">
        <v>259</v>
      </c>
      <c r="D716" s="4" t="s">
        <v>326</v>
      </c>
      <c r="E716" s="4" t="s">
        <v>277</v>
      </c>
      <c r="F716" s="4"/>
      <c r="G716" s="6" t="s">
        <v>421</v>
      </c>
      <c r="H716" s="53">
        <f>978.4-352.5-40+0.3-128.8</f>
        <v>457.3999999999999</v>
      </c>
      <c r="I716" s="53"/>
      <c r="J716" s="53">
        <v>453.3</v>
      </c>
      <c r="K716" s="53"/>
      <c r="L716" s="83"/>
    </row>
    <row r="717" spans="1:12" ht="21.75" customHeight="1">
      <c r="A717" s="47" t="s">
        <v>180</v>
      </c>
      <c r="B717" s="3" t="s">
        <v>342</v>
      </c>
      <c r="C717" s="3" t="s">
        <v>261</v>
      </c>
      <c r="D717" s="3"/>
      <c r="E717" s="3"/>
      <c r="F717" s="3"/>
      <c r="G717" s="5"/>
      <c r="H717" s="48">
        <f>H718</f>
        <v>2800</v>
      </c>
      <c r="I717" s="48">
        <f>I718</f>
        <v>1269</v>
      </c>
      <c r="J717" s="48">
        <f>J718</f>
        <v>2800</v>
      </c>
      <c r="K717" s="48">
        <f>K718</f>
        <v>1269</v>
      </c>
      <c r="L717" s="63">
        <f>J717/H717*100</f>
        <v>100</v>
      </c>
    </row>
    <row r="718" spans="1:12" ht="18.75" customHeight="1">
      <c r="A718" s="47" t="s">
        <v>40</v>
      </c>
      <c r="B718" s="3" t="s">
        <v>342</v>
      </c>
      <c r="C718" s="3" t="s">
        <v>261</v>
      </c>
      <c r="D718" s="3" t="s">
        <v>266</v>
      </c>
      <c r="E718" s="4"/>
      <c r="F718" s="4"/>
      <c r="G718" s="6"/>
      <c r="H718" s="48">
        <f>H719+H723</f>
        <v>2800</v>
      </c>
      <c r="I718" s="48">
        <f>I719+I723</f>
        <v>1269</v>
      </c>
      <c r="J718" s="48">
        <f>J719+J723</f>
        <v>2800</v>
      </c>
      <c r="K718" s="48">
        <f>K719+K723</f>
        <v>1269</v>
      </c>
      <c r="L718" s="63">
        <f>J718/H718*100</f>
        <v>100</v>
      </c>
    </row>
    <row r="719" spans="1:12" ht="24.75" customHeight="1">
      <c r="A719" s="2" t="s">
        <v>530</v>
      </c>
      <c r="B719" s="4" t="s">
        <v>342</v>
      </c>
      <c r="C719" s="4" t="s">
        <v>261</v>
      </c>
      <c r="D719" s="4" t="s">
        <v>266</v>
      </c>
      <c r="E719" s="4" t="s">
        <v>528</v>
      </c>
      <c r="F719" s="4"/>
      <c r="G719" s="6"/>
      <c r="H719" s="53">
        <f aca="true" t="shared" si="51" ref="H719:K721">H720</f>
        <v>1269</v>
      </c>
      <c r="I719" s="53">
        <f t="shared" si="51"/>
        <v>1269</v>
      </c>
      <c r="J719" s="53">
        <f t="shared" si="51"/>
        <v>1269</v>
      </c>
      <c r="K719" s="53">
        <f t="shared" si="51"/>
        <v>1269</v>
      </c>
      <c r="L719" s="83"/>
    </row>
    <row r="720" spans="1:12" ht="49.5" customHeight="1">
      <c r="A720" s="2" t="s">
        <v>42</v>
      </c>
      <c r="B720" s="4" t="s">
        <v>342</v>
      </c>
      <c r="C720" s="4" t="s">
        <v>261</v>
      </c>
      <c r="D720" s="4" t="s">
        <v>266</v>
      </c>
      <c r="E720" s="4" t="s">
        <v>41</v>
      </c>
      <c r="F720" s="4"/>
      <c r="G720" s="6"/>
      <c r="H720" s="53">
        <f t="shared" si="51"/>
        <v>1269</v>
      </c>
      <c r="I720" s="53">
        <f t="shared" si="51"/>
        <v>1269</v>
      </c>
      <c r="J720" s="53">
        <f t="shared" si="51"/>
        <v>1269</v>
      </c>
      <c r="K720" s="53">
        <f t="shared" si="51"/>
        <v>1269</v>
      </c>
      <c r="L720" s="83"/>
    </row>
    <row r="721" spans="1:12" ht="33.75" customHeight="1">
      <c r="A721" s="2" t="s">
        <v>44</v>
      </c>
      <c r="B721" s="4" t="s">
        <v>342</v>
      </c>
      <c r="C721" s="4" t="s">
        <v>261</v>
      </c>
      <c r="D721" s="4" t="s">
        <v>266</v>
      </c>
      <c r="E721" s="4" t="s">
        <v>43</v>
      </c>
      <c r="F721" s="4"/>
      <c r="G721" s="6"/>
      <c r="H721" s="53">
        <f t="shared" si="51"/>
        <v>1269</v>
      </c>
      <c r="I721" s="53">
        <f t="shared" si="51"/>
        <v>1269</v>
      </c>
      <c r="J721" s="53">
        <f t="shared" si="51"/>
        <v>1269</v>
      </c>
      <c r="K721" s="53">
        <f t="shared" si="51"/>
        <v>1269</v>
      </c>
      <c r="L721" s="83"/>
    </row>
    <row r="722" spans="1:12" ht="36.75" customHeight="1">
      <c r="A722" s="2" t="s">
        <v>440</v>
      </c>
      <c r="B722" s="4" t="s">
        <v>342</v>
      </c>
      <c r="C722" s="4" t="s">
        <v>261</v>
      </c>
      <c r="D722" s="4" t="s">
        <v>266</v>
      </c>
      <c r="E722" s="4" t="s">
        <v>43</v>
      </c>
      <c r="F722" s="4"/>
      <c r="G722" s="6" t="s">
        <v>437</v>
      </c>
      <c r="H722" s="53">
        <v>1269</v>
      </c>
      <c r="I722" s="53">
        <v>1269</v>
      </c>
      <c r="J722" s="53">
        <v>1269</v>
      </c>
      <c r="K722" s="53">
        <v>1269</v>
      </c>
      <c r="L722" s="83"/>
    </row>
    <row r="723" spans="1:12" ht="27" customHeight="1">
      <c r="A723" s="2" t="s">
        <v>223</v>
      </c>
      <c r="B723" s="4" t="s">
        <v>342</v>
      </c>
      <c r="C723" s="4" t="s">
        <v>261</v>
      </c>
      <c r="D723" s="4" t="s">
        <v>266</v>
      </c>
      <c r="E723" s="4" t="s">
        <v>224</v>
      </c>
      <c r="F723" s="4"/>
      <c r="G723" s="6"/>
      <c r="H723" s="53">
        <f>H724</f>
        <v>1531</v>
      </c>
      <c r="I723" s="53">
        <f aca="true" t="shared" si="52" ref="I723:K724">I724</f>
        <v>0</v>
      </c>
      <c r="J723" s="53">
        <f t="shared" si="52"/>
        <v>1531</v>
      </c>
      <c r="K723" s="53">
        <f t="shared" si="52"/>
        <v>0</v>
      </c>
      <c r="L723" s="83"/>
    </row>
    <row r="724" spans="1:12" ht="57">
      <c r="A724" s="7" t="s">
        <v>208</v>
      </c>
      <c r="B724" s="4" t="s">
        <v>342</v>
      </c>
      <c r="C724" s="4" t="s">
        <v>261</v>
      </c>
      <c r="D724" s="4" t="s">
        <v>266</v>
      </c>
      <c r="E724" s="4" t="s">
        <v>209</v>
      </c>
      <c r="F724" s="4"/>
      <c r="G724" s="6"/>
      <c r="H724" s="53">
        <f>H725</f>
        <v>1531</v>
      </c>
      <c r="I724" s="53">
        <f t="shared" si="52"/>
        <v>0</v>
      </c>
      <c r="J724" s="53">
        <f t="shared" si="52"/>
        <v>1531</v>
      </c>
      <c r="K724" s="53">
        <f t="shared" si="52"/>
        <v>0</v>
      </c>
      <c r="L724" s="83"/>
    </row>
    <row r="725" spans="1:12" ht="36.75" customHeight="1">
      <c r="A725" s="2" t="s">
        <v>440</v>
      </c>
      <c r="B725" s="4" t="s">
        <v>342</v>
      </c>
      <c r="C725" s="4" t="s">
        <v>261</v>
      </c>
      <c r="D725" s="4" t="s">
        <v>266</v>
      </c>
      <c r="E725" s="4" t="s">
        <v>209</v>
      </c>
      <c r="F725" s="4"/>
      <c r="G725" s="6" t="s">
        <v>437</v>
      </c>
      <c r="H725" s="53">
        <f>846+585+100</f>
        <v>1531</v>
      </c>
      <c r="I725" s="53"/>
      <c r="J725" s="53">
        <v>1531</v>
      </c>
      <c r="K725" s="53"/>
      <c r="L725" s="83"/>
    </row>
    <row r="726" spans="1:12" ht="30">
      <c r="A726" s="45" t="s">
        <v>465</v>
      </c>
      <c r="B726" s="3" t="s">
        <v>343</v>
      </c>
      <c r="C726" s="3"/>
      <c r="D726" s="3"/>
      <c r="E726" s="3"/>
      <c r="F726" s="3"/>
      <c r="G726" s="5"/>
      <c r="H726" s="48">
        <f>H727+H746+H754+H777+H771</f>
        <v>178025.8</v>
      </c>
      <c r="I726" s="48">
        <f>I727+I746+I754+I777+I771</f>
        <v>17307</v>
      </c>
      <c r="J726" s="48">
        <f>J727+J746+J754+J777+J771</f>
        <v>147525.30000000002</v>
      </c>
      <c r="K726" s="48">
        <f>K727+K746+K754+K777+K771</f>
        <v>6188.3</v>
      </c>
      <c r="L726" s="63">
        <f>J726/H726*100</f>
        <v>82.86737090916037</v>
      </c>
    </row>
    <row r="727" spans="1:12" s="49" customFormat="1" ht="15">
      <c r="A727" s="47" t="s">
        <v>153</v>
      </c>
      <c r="B727" s="3" t="s">
        <v>343</v>
      </c>
      <c r="C727" s="3" t="s">
        <v>259</v>
      </c>
      <c r="D727" s="3"/>
      <c r="E727" s="3"/>
      <c r="F727" s="3"/>
      <c r="G727" s="5"/>
      <c r="H727" s="48">
        <f>H728</f>
        <v>29180.8</v>
      </c>
      <c r="I727" s="48">
        <f>I728</f>
        <v>0</v>
      </c>
      <c r="J727" s="48">
        <f>J728</f>
        <v>27691.800000000003</v>
      </c>
      <c r="K727" s="48">
        <f>K728</f>
        <v>0</v>
      </c>
      <c r="L727" s="63">
        <f>J727/H727*100</f>
        <v>94.89732975106921</v>
      </c>
    </row>
    <row r="728" spans="1:12" ht="15">
      <c r="A728" s="47" t="s">
        <v>190</v>
      </c>
      <c r="B728" s="3" t="s">
        <v>343</v>
      </c>
      <c r="C728" s="3" t="s">
        <v>259</v>
      </c>
      <c r="D728" s="3" t="s">
        <v>326</v>
      </c>
      <c r="E728" s="3"/>
      <c r="F728" s="3"/>
      <c r="G728" s="6"/>
      <c r="H728" s="48">
        <f>H729+H738+H741</f>
        <v>29180.8</v>
      </c>
      <c r="I728" s="48">
        <f>I729+I738+I741</f>
        <v>0</v>
      </c>
      <c r="J728" s="48">
        <f>J729+J738+J741</f>
        <v>27691.800000000003</v>
      </c>
      <c r="K728" s="48">
        <f>K729+K738+K741</f>
        <v>0</v>
      </c>
      <c r="L728" s="63">
        <f>J728/H728*100</f>
        <v>94.89732975106921</v>
      </c>
    </row>
    <row r="729" spans="1:12" ht="54" customHeight="1">
      <c r="A729" s="2" t="s">
        <v>296</v>
      </c>
      <c r="B729" s="4" t="s">
        <v>343</v>
      </c>
      <c r="C729" s="4" t="s">
        <v>259</v>
      </c>
      <c r="D729" s="4" t="s">
        <v>326</v>
      </c>
      <c r="E729" s="4" t="s">
        <v>293</v>
      </c>
      <c r="F729" s="4"/>
      <c r="G729" s="6"/>
      <c r="H729" s="53">
        <f>H730</f>
        <v>21621</v>
      </c>
      <c r="I729" s="53">
        <f>I730</f>
        <v>0</v>
      </c>
      <c r="J729" s="53">
        <f>J730</f>
        <v>20345.7</v>
      </c>
      <c r="K729" s="53">
        <f>K730</f>
        <v>0</v>
      </c>
      <c r="L729" s="83"/>
    </row>
    <row r="730" spans="1:12" ht="14.25">
      <c r="A730" s="2" t="s">
        <v>176</v>
      </c>
      <c r="B730" s="4" t="s">
        <v>343</v>
      </c>
      <c r="C730" s="4" t="s">
        <v>259</v>
      </c>
      <c r="D730" s="4" t="s">
        <v>326</v>
      </c>
      <c r="E730" s="4" t="s">
        <v>295</v>
      </c>
      <c r="F730" s="4"/>
      <c r="G730" s="6"/>
      <c r="H730" s="53">
        <f>H731+H734+H737</f>
        <v>21621</v>
      </c>
      <c r="I730" s="53">
        <f>I731+I734+I737</f>
        <v>0</v>
      </c>
      <c r="J730" s="53">
        <f>J731+J734+J737</f>
        <v>20345.7</v>
      </c>
      <c r="K730" s="53">
        <f>K731+K734+K737</f>
        <v>0</v>
      </c>
      <c r="L730" s="83"/>
    </row>
    <row r="731" spans="1:12" ht="14.25">
      <c r="A731" s="2" t="s">
        <v>551</v>
      </c>
      <c r="B731" s="4" t="s">
        <v>343</v>
      </c>
      <c r="C731" s="4" t="s">
        <v>259</v>
      </c>
      <c r="D731" s="4" t="s">
        <v>326</v>
      </c>
      <c r="E731" s="4" t="s">
        <v>295</v>
      </c>
      <c r="F731" s="4"/>
      <c r="G731" s="6" t="s">
        <v>393</v>
      </c>
      <c r="H731" s="53">
        <f>H732+H733</f>
        <v>20351</v>
      </c>
      <c r="I731" s="53">
        <f>I732+I733</f>
        <v>0</v>
      </c>
      <c r="J731" s="53">
        <f>J732+J733</f>
        <v>19352.7</v>
      </c>
      <c r="K731" s="53">
        <f>K732+K733</f>
        <v>0</v>
      </c>
      <c r="L731" s="83"/>
    </row>
    <row r="732" spans="1:12" ht="14.25">
      <c r="A732" s="2" t="s">
        <v>415</v>
      </c>
      <c r="B732" s="4" t="s">
        <v>343</v>
      </c>
      <c r="C732" s="4" t="s">
        <v>259</v>
      </c>
      <c r="D732" s="4" t="s">
        <v>326</v>
      </c>
      <c r="E732" s="4" t="s">
        <v>295</v>
      </c>
      <c r="F732" s="4"/>
      <c r="G732" s="6" t="s">
        <v>414</v>
      </c>
      <c r="H732" s="53">
        <v>20331</v>
      </c>
      <c r="I732" s="53"/>
      <c r="J732" s="53">
        <v>19352.7</v>
      </c>
      <c r="K732" s="53"/>
      <c r="L732" s="83"/>
    </row>
    <row r="733" spans="1:12" ht="28.5">
      <c r="A733" s="2" t="s">
        <v>417</v>
      </c>
      <c r="B733" s="4" t="s">
        <v>343</v>
      </c>
      <c r="C733" s="4" t="s">
        <v>259</v>
      </c>
      <c r="D733" s="4" t="s">
        <v>326</v>
      </c>
      <c r="E733" s="4" t="s">
        <v>295</v>
      </c>
      <c r="F733" s="4"/>
      <c r="G733" s="6" t="s">
        <v>416</v>
      </c>
      <c r="H733" s="53">
        <v>20</v>
      </c>
      <c r="I733" s="53"/>
      <c r="J733" s="53"/>
      <c r="K733" s="53"/>
      <c r="L733" s="83"/>
    </row>
    <row r="734" spans="1:12" ht="28.5">
      <c r="A734" s="2" t="s">
        <v>599</v>
      </c>
      <c r="B734" s="4" t="s">
        <v>343</v>
      </c>
      <c r="C734" s="4" t="s">
        <v>259</v>
      </c>
      <c r="D734" s="4" t="s">
        <v>326</v>
      </c>
      <c r="E734" s="4" t="s">
        <v>295</v>
      </c>
      <c r="F734" s="4"/>
      <c r="G734" s="6" t="s">
        <v>526</v>
      </c>
      <c r="H734" s="53">
        <f>H735+H736</f>
        <v>1220</v>
      </c>
      <c r="I734" s="53">
        <f>I735+I736</f>
        <v>0</v>
      </c>
      <c r="J734" s="53">
        <f>J735+J736</f>
        <v>993</v>
      </c>
      <c r="K734" s="53">
        <f>K735+K736</f>
        <v>0</v>
      </c>
      <c r="L734" s="83"/>
    </row>
    <row r="735" spans="1:12" ht="28.5">
      <c r="A735" s="2" t="s">
        <v>440</v>
      </c>
      <c r="B735" s="4" t="s">
        <v>343</v>
      </c>
      <c r="C735" s="4" t="s">
        <v>259</v>
      </c>
      <c r="D735" s="4" t="s">
        <v>326</v>
      </c>
      <c r="E735" s="4" t="s">
        <v>295</v>
      </c>
      <c r="F735" s="4"/>
      <c r="G735" s="6" t="s">
        <v>437</v>
      </c>
      <c r="H735" s="53">
        <v>509.8</v>
      </c>
      <c r="I735" s="53"/>
      <c r="J735" s="53">
        <v>484.8</v>
      </c>
      <c r="K735" s="53"/>
      <c r="L735" s="83"/>
    </row>
    <row r="736" spans="1:12" ht="29.25" customHeight="1">
      <c r="A736" s="2" t="s">
        <v>431</v>
      </c>
      <c r="B736" s="4" t="s">
        <v>343</v>
      </c>
      <c r="C736" s="4" t="s">
        <v>259</v>
      </c>
      <c r="D736" s="4" t="s">
        <v>326</v>
      </c>
      <c r="E736" s="4" t="s">
        <v>295</v>
      </c>
      <c r="F736" s="4"/>
      <c r="G736" s="6" t="s">
        <v>421</v>
      </c>
      <c r="H736" s="53">
        <v>710.2</v>
      </c>
      <c r="I736" s="53"/>
      <c r="J736" s="53">
        <v>508.2</v>
      </c>
      <c r="K736" s="53"/>
      <c r="L736" s="83"/>
    </row>
    <row r="737" spans="1:12" ht="28.5">
      <c r="A737" s="2" t="s">
        <v>363</v>
      </c>
      <c r="B737" s="4" t="s">
        <v>343</v>
      </c>
      <c r="C737" s="4" t="s">
        <v>259</v>
      </c>
      <c r="D737" s="4" t="s">
        <v>326</v>
      </c>
      <c r="E737" s="4" t="s">
        <v>295</v>
      </c>
      <c r="F737" s="4"/>
      <c r="G737" s="6" t="s">
        <v>418</v>
      </c>
      <c r="H737" s="53">
        <v>50</v>
      </c>
      <c r="I737" s="53"/>
      <c r="J737" s="53"/>
      <c r="K737" s="53"/>
      <c r="L737" s="83"/>
    </row>
    <row r="738" spans="1:12" ht="28.5">
      <c r="A738" s="2" t="s">
        <v>271</v>
      </c>
      <c r="B738" s="4" t="s">
        <v>343</v>
      </c>
      <c r="C738" s="4" t="s">
        <v>259</v>
      </c>
      <c r="D738" s="4" t="s">
        <v>326</v>
      </c>
      <c r="E738" s="4" t="s">
        <v>237</v>
      </c>
      <c r="F738" s="4"/>
      <c r="G738" s="6"/>
      <c r="H738" s="53">
        <f>H739</f>
        <v>2684.3</v>
      </c>
      <c r="I738" s="53">
        <f aca="true" t="shared" si="53" ref="I738:K739">I739</f>
        <v>0</v>
      </c>
      <c r="J738" s="53">
        <f t="shared" si="53"/>
        <v>2681.4</v>
      </c>
      <c r="K738" s="53">
        <f t="shared" si="53"/>
        <v>0</v>
      </c>
      <c r="L738" s="83"/>
    </row>
    <row r="739" spans="1:12" ht="18" customHeight="1">
      <c r="A739" s="2" t="s">
        <v>187</v>
      </c>
      <c r="B739" s="4" t="s">
        <v>343</v>
      </c>
      <c r="C739" s="4" t="s">
        <v>259</v>
      </c>
      <c r="D739" s="4" t="s">
        <v>326</v>
      </c>
      <c r="E739" s="4" t="s">
        <v>270</v>
      </c>
      <c r="F739" s="4"/>
      <c r="G739" s="6"/>
      <c r="H739" s="53">
        <f>H740</f>
        <v>2684.3</v>
      </c>
      <c r="I739" s="53">
        <f t="shared" si="53"/>
        <v>0</v>
      </c>
      <c r="J739" s="53">
        <f t="shared" si="53"/>
        <v>2681.4</v>
      </c>
      <c r="K739" s="53">
        <f t="shared" si="53"/>
        <v>0</v>
      </c>
      <c r="L739" s="83"/>
    </row>
    <row r="740" spans="1:12" ht="31.5" customHeight="1">
      <c r="A740" s="2" t="s">
        <v>431</v>
      </c>
      <c r="B740" s="4" t="s">
        <v>343</v>
      </c>
      <c r="C740" s="4" t="s">
        <v>259</v>
      </c>
      <c r="D740" s="4" t="s">
        <v>326</v>
      </c>
      <c r="E740" s="4" t="s">
        <v>270</v>
      </c>
      <c r="F740" s="4" t="s">
        <v>175</v>
      </c>
      <c r="G740" s="6" t="s">
        <v>421</v>
      </c>
      <c r="H740" s="53">
        <v>2684.3</v>
      </c>
      <c r="I740" s="53"/>
      <c r="J740" s="53">
        <v>2681.4</v>
      </c>
      <c r="K740" s="53"/>
      <c r="L740" s="83"/>
    </row>
    <row r="741" spans="1:12" ht="14.25">
      <c r="A741" s="2" t="s">
        <v>223</v>
      </c>
      <c r="B741" s="4" t="s">
        <v>343</v>
      </c>
      <c r="C741" s="4" t="s">
        <v>259</v>
      </c>
      <c r="D741" s="4" t="s">
        <v>326</v>
      </c>
      <c r="E741" s="4" t="s">
        <v>224</v>
      </c>
      <c r="F741" s="4"/>
      <c r="G741" s="6"/>
      <c r="H741" s="53">
        <f>H742</f>
        <v>4875.500000000001</v>
      </c>
      <c r="I741" s="53">
        <f>I742</f>
        <v>0</v>
      </c>
      <c r="J741" s="53">
        <f>J742</f>
        <v>4664.7</v>
      </c>
      <c r="K741" s="53">
        <f>K742</f>
        <v>0</v>
      </c>
      <c r="L741" s="83"/>
    </row>
    <row r="742" spans="1:12" ht="42.75">
      <c r="A742" s="2" t="s">
        <v>352</v>
      </c>
      <c r="B742" s="4" t="s">
        <v>343</v>
      </c>
      <c r="C742" s="4" t="s">
        <v>259</v>
      </c>
      <c r="D742" s="4" t="s">
        <v>326</v>
      </c>
      <c r="E742" s="4" t="s">
        <v>277</v>
      </c>
      <c r="F742" s="4"/>
      <c r="G742" s="6"/>
      <c r="H742" s="53">
        <f>H743+H745+H744</f>
        <v>4875.500000000001</v>
      </c>
      <c r="I742" s="53">
        <f>I743+I745+I744</f>
        <v>0</v>
      </c>
      <c r="J742" s="53">
        <f>J743+J745+J744</f>
        <v>4664.7</v>
      </c>
      <c r="K742" s="53">
        <f>K743+K745+K744</f>
        <v>0</v>
      </c>
      <c r="L742" s="83"/>
    </row>
    <row r="743" spans="1:12" ht="28.5">
      <c r="A743" s="2" t="s">
        <v>417</v>
      </c>
      <c r="B743" s="4" t="s">
        <v>343</v>
      </c>
      <c r="C743" s="4" t="s">
        <v>259</v>
      </c>
      <c r="D743" s="4" t="s">
        <v>326</v>
      </c>
      <c r="E743" s="4" t="s">
        <v>277</v>
      </c>
      <c r="F743" s="4"/>
      <c r="G743" s="6" t="s">
        <v>416</v>
      </c>
      <c r="H743" s="53">
        <v>3548.3</v>
      </c>
      <c r="I743" s="53"/>
      <c r="J743" s="53">
        <v>3417.2</v>
      </c>
      <c r="K743" s="53"/>
      <c r="L743" s="83"/>
    </row>
    <row r="744" spans="1:12" ht="28.5">
      <c r="A744" s="2" t="s">
        <v>440</v>
      </c>
      <c r="B744" s="4" t="s">
        <v>343</v>
      </c>
      <c r="C744" s="4" t="s">
        <v>259</v>
      </c>
      <c r="D744" s="4" t="s">
        <v>326</v>
      </c>
      <c r="E744" s="4" t="s">
        <v>277</v>
      </c>
      <c r="F744" s="4"/>
      <c r="G744" s="6" t="s">
        <v>437</v>
      </c>
      <c r="H744" s="53">
        <v>718.6</v>
      </c>
      <c r="I744" s="53"/>
      <c r="J744" s="53">
        <v>649.4</v>
      </c>
      <c r="K744" s="53"/>
      <c r="L744" s="83"/>
    </row>
    <row r="745" spans="1:12" ht="27.75" customHeight="1">
      <c r="A745" s="2" t="s">
        <v>431</v>
      </c>
      <c r="B745" s="4" t="s">
        <v>343</v>
      </c>
      <c r="C745" s="4" t="s">
        <v>259</v>
      </c>
      <c r="D745" s="4" t="s">
        <v>326</v>
      </c>
      <c r="E745" s="4" t="s">
        <v>277</v>
      </c>
      <c r="F745" s="4"/>
      <c r="G745" s="6" t="s">
        <v>421</v>
      </c>
      <c r="H745" s="53">
        <f>1320-900+80+27.8+10+111.6-40.8</f>
        <v>608.6</v>
      </c>
      <c r="I745" s="53"/>
      <c r="J745" s="53">
        <v>598.1</v>
      </c>
      <c r="K745" s="53"/>
      <c r="L745" s="83"/>
    </row>
    <row r="746" spans="1:12" ht="15">
      <c r="A746" s="47" t="s">
        <v>180</v>
      </c>
      <c r="B746" s="3" t="s">
        <v>343</v>
      </c>
      <c r="C746" s="3" t="s">
        <v>261</v>
      </c>
      <c r="D746" s="3"/>
      <c r="E746" s="3"/>
      <c r="F746" s="3"/>
      <c r="G746" s="5"/>
      <c r="H746" s="53">
        <f>H747</f>
        <v>3182.1000000000004</v>
      </c>
      <c r="I746" s="53">
        <f>I747</f>
        <v>0</v>
      </c>
      <c r="J746" s="53">
        <f>J747</f>
        <v>3182.1</v>
      </c>
      <c r="K746" s="53">
        <f>K747</f>
        <v>0</v>
      </c>
      <c r="L746" s="83"/>
    </row>
    <row r="747" spans="1:12" ht="15">
      <c r="A747" s="47" t="s">
        <v>181</v>
      </c>
      <c r="B747" s="3" t="s">
        <v>343</v>
      </c>
      <c r="C747" s="3" t="s">
        <v>261</v>
      </c>
      <c r="D747" s="3" t="s">
        <v>262</v>
      </c>
      <c r="E747" s="3"/>
      <c r="F747" s="3"/>
      <c r="G747" s="6"/>
      <c r="H747" s="53">
        <f>H751+H748</f>
        <v>3182.1000000000004</v>
      </c>
      <c r="I747" s="53">
        <f>I751+I748</f>
        <v>0</v>
      </c>
      <c r="J747" s="53">
        <f>J751+J748</f>
        <v>3182.1</v>
      </c>
      <c r="K747" s="53">
        <f>K751+K748</f>
        <v>0</v>
      </c>
      <c r="L747" s="83"/>
    </row>
    <row r="748" spans="1:12" ht="30" customHeight="1">
      <c r="A748" s="2" t="s">
        <v>271</v>
      </c>
      <c r="B748" s="4" t="s">
        <v>343</v>
      </c>
      <c r="C748" s="4" t="s">
        <v>261</v>
      </c>
      <c r="D748" s="4" t="s">
        <v>262</v>
      </c>
      <c r="E748" s="4" t="s">
        <v>237</v>
      </c>
      <c r="F748" s="3"/>
      <c r="G748" s="6"/>
      <c r="H748" s="53">
        <f>H749</f>
        <v>2477.1000000000004</v>
      </c>
      <c r="I748" s="53">
        <f aca="true" t="shared" si="54" ref="I748:K749">I749</f>
        <v>0</v>
      </c>
      <c r="J748" s="53">
        <f t="shared" si="54"/>
        <v>2477.1</v>
      </c>
      <c r="K748" s="53">
        <f t="shared" si="54"/>
        <v>0</v>
      </c>
      <c r="L748" s="83"/>
    </row>
    <row r="749" spans="1:12" ht="15">
      <c r="A749" s="2" t="s">
        <v>187</v>
      </c>
      <c r="B749" s="4" t="s">
        <v>343</v>
      </c>
      <c r="C749" s="4" t="s">
        <v>261</v>
      </c>
      <c r="D749" s="4" t="s">
        <v>262</v>
      </c>
      <c r="E749" s="4" t="s">
        <v>270</v>
      </c>
      <c r="F749" s="3"/>
      <c r="G749" s="6"/>
      <c r="H749" s="53">
        <f>H750</f>
        <v>2477.1000000000004</v>
      </c>
      <c r="I749" s="53">
        <f t="shared" si="54"/>
        <v>0</v>
      </c>
      <c r="J749" s="53">
        <f t="shared" si="54"/>
        <v>2477.1</v>
      </c>
      <c r="K749" s="53">
        <f t="shared" si="54"/>
        <v>0</v>
      </c>
      <c r="L749" s="83"/>
    </row>
    <row r="750" spans="1:12" ht="15">
      <c r="A750" s="2" t="s">
        <v>426</v>
      </c>
      <c r="B750" s="4" t="s">
        <v>343</v>
      </c>
      <c r="C750" s="4" t="s">
        <v>261</v>
      </c>
      <c r="D750" s="4" t="s">
        <v>262</v>
      </c>
      <c r="E750" s="4" t="s">
        <v>270</v>
      </c>
      <c r="F750" s="3"/>
      <c r="G750" s="6" t="s">
        <v>425</v>
      </c>
      <c r="H750" s="53">
        <f>961.2+1515.9</f>
        <v>2477.1000000000004</v>
      </c>
      <c r="I750" s="48"/>
      <c r="J750" s="53">
        <v>2477.1</v>
      </c>
      <c r="K750" s="53"/>
      <c r="L750" s="83"/>
    </row>
    <row r="751" spans="1:12" ht="31.5" customHeight="1">
      <c r="A751" s="2" t="s">
        <v>213</v>
      </c>
      <c r="B751" s="4" t="s">
        <v>343</v>
      </c>
      <c r="C751" s="4" t="s">
        <v>261</v>
      </c>
      <c r="D751" s="4" t="s">
        <v>262</v>
      </c>
      <c r="E751" s="4" t="s">
        <v>186</v>
      </c>
      <c r="F751" s="4"/>
      <c r="G751" s="6"/>
      <c r="H751" s="53">
        <f>H752</f>
        <v>705</v>
      </c>
      <c r="I751" s="53">
        <f aca="true" t="shared" si="55" ref="I751:K752">I752</f>
        <v>0</v>
      </c>
      <c r="J751" s="53">
        <f t="shared" si="55"/>
        <v>705</v>
      </c>
      <c r="K751" s="53">
        <f t="shared" si="55"/>
        <v>0</v>
      </c>
      <c r="L751" s="83"/>
    </row>
    <row r="752" spans="1:12" ht="14.25">
      <c r="A752" s="2" t="s">
        <v>314</v>
      </c>
      <c r="B752" s="4" t="s">
        <v>343</v>
      </c>
      <c r="C752" s="4" t="s">
        <v>261</v>
      </c>
      <c r="D752" s="4" t="s">
        <v>262</v>
      </c>
      <c r="E752" s="4" t="s">
        <v>315</v>
      </c>
      <c r="F752" s="4"/>
      <c r="G752" s="6"/>
      <c r="H752" s="53">
        <f>H753</f>
        <v>705</v>
      </c>
      <c r="I752" s="53">
        <f t="shared" si="55"/>
        <v>0</v>
      </c>
      <c r="J752" s="53">
        <f t="shared" si="55"/>
        <v>705</v>
      </c>
      <c r="K752" s="53">
        <f t="shared" si="55"/>
        <v>0</v>
      </c>
      <c r="L752" s="83"/>
    </row>
    <row r="753" spans="1:12" ht="27.75" customHeight="1">
      <c r="A753" s="2" t="s">
        <v>431</v>
      </c>
      <c r="B753" s="4" t="s">
        <v>343</v>
      </c>
      <c r="C753" s="4" t="s">
        <v>261</v>
      </c>
      <c r="D753" s="4" t="s">
        <v>262</v>
      </c>
      <c r="E753" s="4" t="s">
        <v>315</v>
      </c>
      <c r="F753" s="4"/>
      <c r="G753" s="6" t="s">
        <v>421</v>
      </c>
      <c r="H753" s="53">
        <f>300+300+120-15</f>
        <v>705</v>
      </c>
      <c r="I753" s="53"/>
      <c r="J753" s="53">
        <v>705</v>
      </c>
      <c r="K753" s="53"/>
      <c r="L753" s="83"/>
    </row>
    <row r="754" spans="1:12" ht="15">
      <c r="A754" s="47" t="s">
        <v>155</v>
      </c>
      <c r="B754" s="3" t="s">
        <v>343</v>
      </c>
      <c r="C754" s="3" t="s">
        <v>269</v>
      </c>
      <c r="D754" s="3"/>
      <c r="E754" s="3"/>
      <c r="F754" s="4"/>
      <c r="G754" s="6"/>
      <c r="H754" s="48">
        <f>H755+H768+H764</f>
        <v>67441.7</v>
      </c>
      <c r="I754" s="48">
        <f>I755+I768+I764</f>
        <v>434.70000000000005</v>
      </c>
      <c r="J754" s="48">
        <f>J755+J768+J764</f>
        <v>67004.3</v>
      </c>
      <c r="K754" s="48">
        <f>K755+K768+K764</f>
        <v>67</v>
      </c>
      <c r="L754" s="63">
        <f>J754/H754*100</f>
        <v>99.35143983618445</v>
      </c>
    </row>
    <row r="755" spans="1:12" ht="15">
      <c r="A755" s="47" t="s">
        <v>183</v>
      </c>
      <c r="B755" s="3" t="s">
        <v>343</v>
      </c>
      <c r="C755" s="3" t="s">
        <v>269</v>
      </c>
      <c r="D755" s="3" t="s">
        <v>259</v>
      </c>
      <c r="E755" s="3"/>
      <c r="F755" s="3"/>
      <c r="G755" s="5"/>
      <c r="H755" s="48">
        <f>H758+H756+H761</f>
        <v>4458.7</v>
      </c>
      <c r="I755" s="48">
        <f>I758+I756+I761</f>
        <v>434.70000000000005</v>
      </c>
      <c r="J755" s="48">
        <f>J758+J756+J761</f>
        <v>4022</v>
      </c>
      <c r="K755" s="48">
        <f>K758+K756+K761</f>
        <v>67</v>
      </c>
      <c r="L755" s="63">
        <f>J755/H755*100</f>
        <v>90.20566532845898</v>
      </c>
    </row>
    <row r="756" spans="1:12" ht="28.5">
      <c r="A756" s="60" t="s">
        <v>625</v>
      </c>
      <c r="B756" s="4" t="s">
        <v>343</v>
      </c>
      <c r="C756" s="4" t="s">
        <v>269</v>
      </c>
      <c r="D756" s="4" t="s">
        <v>259</v>
      </c>
      <c r="E756" s="4" t="s">
        <v>624</v>
      </c>
      <c r="F756" s="4"/>
      <c r="G756" s="6"/>
      <c r="H756" s="53">
        <f>H757</f>
        <v>106.9</v>
      </c>
      <c r="I756" s="53">
        <f>I757</f>
        <v>106.9</v>
      </c>
      <c r="J756" s="53">
        <f>J757</f>
        <v>16.5</v>
      </c>
      <c r="K756" s="53">
        <f>K757</f>
        <v>16.5</v>
      </c>
      <c r="L756" s="83"/>
    </row>
    <row r="757" spans="1:12" ht="71.25">
      <c r="A757" s="2" t="s">
        <v>626</v>
      </c>
      <c r="B757" s="4" t="s">
        <v>343</v>
      </c>
      <c r="C757" s="4" t="s">
        <v>269</v>
      </c>
      <c r="D757" s="4" t="s">
        <v>259</v>
      </c>
      <c r="E757" s="4" t="s">
        <v>624</v>
      </c>
      <c r="F757" s="4"/>
      <c r="G757" s="6" t="s">
        <v>421</v>
      </c>
      <c r="H757" s="53">
        <v>106.9</v>
      </c>
      <c r="I757" s="53">
        <v>106.9</v>
      </c>
      <c r="J757" s="53">
        <v>16.5</v>
      </c>
      <c r="K757" s="53">
        <v>16.5</v>
      </c>
      <c r="L757" s="83"/>
    </row>
    <row r="758" spans="1:12" ht="14.25">
      <c r="A758" s="2" t="s">
        <v>387</v>
      </c>
      <c r="B758" s="4" t="s">
        <v>343</v>
      </c>
      <c r="C758" s="4" t="s">
        <v>269</v>
      </c>
      <c r="D758" s="4" t="s">
        <v>259</v>
      </c>
      <c r="E758" s="4" t="s">
        <v>384</v>
      </c>
      <c r="F758" s="4" t="s">
        <v>175</v>
      </c>
      <c r="G758" s="6"/>
      <c r="H758" s="53">
        <f>H759</f>
        <v>4024</v>
      </c>
      <c r="I758" s="53">
        <f aca="true" t="shared" si="56" ref="I758:K759">I759</f>
        <v>0</v>
      </c>
      <c r="J758" s="53">
        <f t="shared" si="56"/>
        <v>3955</v>
      </c>
      <c r="K758" s="53">
        <f t="shared" si="56"/>
        <v>0</v>
      </c>
      <c r="L758" s="83"/>
    </row>
    <row r="759" spans="1:12" ht="14.25">
      <c r="A759" s="2" t="s">
        <v>390</v>
      </c>
      <c r="B759" s="4" t="s">
        <v>343</v>
      </c>
      <c r="C759" s="4" t="s">
        <v>269</v>
      </c>
      <c r="D759" s="4" t="s">
        <v>259</v>
      </c>
      <c r="E759" s="4" t="s">
        <v>391</v>
      </c>
      <c r="F759" s="4" t="s">
        <v>175</v>
      </c>
      <c r="G759" s="6"/>
      <c r="H759" s="53">
        <f>H760</f>
        <v>4024</v>
      </c>
      <c r="I759" s="53">
        <f t="shared" si="56"/>
        <v>0</v>
      </c>
      <c r="J759" s="53">
        <f t="shared" si="56"/>
        <v>3955</v>
      </c>
      <c r="K759" s="53">
        <f t="shared" si="56"/>
        <v>0</v>
      </c>
      <c r="L759" s="83"/>
    </row>
    <row r="760" spans="1:12" ht="26.25" customHeight="1">
      <c r="A760" s="2" t="s">
        <v>431</v>
      </c>
      <c r="B760" s="4" t="s">
        <v>343</v>
      </c>
      <c r="C760" s="4" t="s">
        <v>269</v>
      </c>
      <c r="D760" s="4" t="s">
        <v>259</v>
      </c>
      <c r="E760" s="4" t="s">
        <v>391</v>
      </c>
      <c r="F760" s="4" t="s">
        <v>294</v>
      </c>
      <c r="G760" s="6" t="s">
        <v>421</v>
      </c>
      <c r="H760" s="53">
        <f>4023.9+0.1</f>
        <v>4024</v>
      </c>
      <c r="I760" s="53"/>
      <c r="J760" s="53">
        <v>3955</v>
      </c>
      <c r="K760" s="53"/>
      <c r="L760" s="83"/>
    </row>
    <row r="761" spans="1:12" ht="26.25" customHeight="1">
      <c r="A761" s="2" t="s">
        <v>530</v>
      </c>
      <c r="B761" s="4" t="s">
        <v>343</v>
      </c>
      <c r="C761" s="4" t="s">
        <v>269</v>
      </c>
      <c r="D761" s="4" t="s">
        <v>259</v>
      </c>
      <c r="E761" s="4" t="s">
        <v>528</v>
      </c>
      <c r="F761" s="4"/>
      <c r="G761" s="6"/>
      <c r="H761" s="53">
        <f>H762</f>
        <v>327.8</v>
      </c>
      <c r="I761" s="53">
        <f aca="true" t="shared" si="57" ref="I761:K762">I762</f>
        <v>327.8</v>
      </c>
      <c r="J761" s="53">
        <f t="shared" si="57"/>
        <v>50.5</v>
      </c>
      <c r="K761" s="53">
        <f t="shared" si="57"/>
        <v>50.5</v>
      </c>
      <c r="L761" s="83"/>
    </row>
    <row r="762" spans="1:12" ht="47.25" customHeight="1">
      <c r="A762" s="2" t="s">
        <v>627</v>
      </c>
      <c r="B762" s="4" t="s">
        <v>343</v>
      </c>
      <c r="C762" s="4" t="s">
        <v>269</v>
      </c>
      <c r="D762" s="4" t="s">
        <v>259</v>
      </c>
      <c r="E762" s="4" t="s">
        <v>628</v>
      </c>
      <c r="F762" s="4"/>
      <c r="G762" s="6"/>
      <c r="H762" s="53">
        <f>H763</f>
        <v>327.8</v>
      </c>
      <c r="I762" s="53">
        <f t="shared" si="57"/>
        <v>327.8</v>
      </c>
      <c r="J762" s="53">
        <f t="shared" si="57"/>
        <v>50.5</v>
      </c>
      <c r="K762" s="53">
        <f t="shared" si="57"/>
        <v>50.5</v>
      </c>
      <c r="L762" s="83"/>
    </row>
    <row r="763" spans="1:12" ht="120" customHeight="1">
      <c r="A763" s="60" t="s">
        <v>629</v>
      </c>
      <c r="B763" s="4" t="s">
        <v>343</v>
      </c>
      <c r="C763" s="4" t="s">
        <v>269</v>
      </c>
      <c r="D763" s="4" t="s">
        <v>259</v>
      </c>
      <c r="E763" s="4" t="s">
        <v>628</v>
      </c>
      <c r="F763" s="4"/>
      <c r="G763" s="6" t="s">
        <v>421</v>
      </c>
      <c r="H763" s="53">
        <v>327.8</v>
      </c>
      <c r="I763" s="53">
        <v>327.8</v>
      </c>
      <c r="J763" s="53">
        <v>50.5</v>
      </c>
      <c r="K763" s="53">
        <v>50.5</v>
      </c>
      <c r="L763" s="83"/>
    </row>
    <row r="764" spans="1:12" ht="26.25" customHeight="1">
      <c r="A764" s="2" t="s">
        <v>605</v>
      </c>
      <c r="B764" s="4" t="s">
        <v>343</v>
      </c>
      <c r="C764" s="4" t="s">
        <v>269</v>
      </c>
      <c r="D764" s="4" t="s">
        <v>260</v>
      </c>
      <c r="E764" s="4"/>
      <c r="F764" s="4"/>
      <c r="G764" s="6"/>
      <c r="H764" s="53">
        <f>H765</f>
        <v>60000</v>
      </c>
      <c r="I764" s="53">
        <f aca="true" t="shared" si="58" ref="I764:K766">I765</f>
        <v>0</v>
      </c>
      <c r="J764" s="53">
        <f t="shared" si="58"/>
        <v>60000</v>
      </c>
      <c r="K764" s="53">
        <f t="shared" si="58"/>
        <v>0</v>
      </c>
      <c r="L764" s="83"/>
    </row>
    <row r="765" spans="1:12" ht="26.25" customHeight="1">
      <c r="A765" s="2" t="s">
        <v>606</v>
      </c>
      <c r="B765" s="4" t="s">
        <v>343</v>
      </c>
      <c r="C765" s="4" t="s">
        <v>269</v>
      </c>
      <c r="D765" s="4" t="s">
        <v>260</v>
      </c>
      <c r="E765" s="4" t="s">
        <v>604</v>
      </c>
      <c r="F765" s="4"/>
      <c r="G765" s="6"/>
      <c r="H765" s="53">
        <f>H766</f>
        <v>60000</v>
      </c>
      <c r="I765" s="53">
        <f t="shared" si="58"/>
        <v>0</v>
      </c>
      <c r="J765" s="53">
        <f t="shared" si="58"/>
        <v>60000</v>
      </c>
      <c r="K765" s="53">
        <f t="shared" si="58"/>
        <v>0</v>
      </c>
      <c r="L765" s="83"/>
    </row>
    <row r="766" spans="1:12" ht="30" customHeight="1">
      <c r="A766" s="2" t="s">
        <v>439</v>
      </c>
      <c r="B766" s="4" t="s">
        <v>343</v>
      </c>
      <c r="C766" s="4" t="s">
        <v>269</v>
      </c>
      <c r="D766" s="4" t="s">
        <v>260</v>
      </c>
      <c r="E766" s="4" t="s">
        <v>438</v>
      </c>
      <c r="F766" s="4"/>
      <c r="G766" s="6"/>
      <c r="H766" s="53">
        <f>H767</f>
        <v>60000</v>
      </c>
      <c r="I766" s="53">
        <f t="shared" si="58"/>
        <v>0</v>
      </c>
      <c r="J766" s="53">
        <f t="shared" si="58"/>
        <v>60000</v>
      </c>
      <c r="K766" s="53">
        <f t="shared" si="58"/>
        <v>0</v>
      </c>
      <c r="L766" s="83"/>
    </row>
    <row r="767" spans="1:12" ht="26.25" customHeight="1">
      <c r="A767" s="2" t="s">
        <v>426</v>
      </c>
      <c r="B767" s="4" t="s">
        <v>343</v>
      </c>
      <c r="C767" s="4" t="s">
        <v>269</v>
      </c>
      <c r="D767" s="4" t="s">
        <v>260</v>
      </c>
      <c r="E767" s="4" t="s">
        <v>438</v>
      </c>
      <c r="F767" s="4"/>
      <c r="G767" s="6" t="s">
        <v>425</v>
      </c>
      <c r="H767" s="53">
        <v>60000</v>
      </c>
      <c r="I767" s="53"/>
      <c r="J767" s="53">
        <v>60000</v>
      </c>
      <c r="K767" s="53"/>
      <c r="L767" s="83"/>
    </row>
    <row r="768" spans="1:12" ht="18.75" customHeight="1">
      <c r="A768" s="47" t="s">
        <v>226</v>
      </c>
      <c r="B768" s="4" t="s">
        <v>343</v>
      </c>
      <c r="C768" s="4" t="s">
        <v>269</v>
      </c>
      <c r="D768" s="4" t="s">
        <v>264</v>
      </c>
      <c r="E768" s="4"/>
      <c r="F768" s="4"/>
      <c r="G768" s="6"/>
      <c r="H768" s="53">
        <f>H769</f>
        <v>2983</v>
      </c>
      <c r="I768" s="53">
        <f aca="true" t="shared" si="59" ref="I768:K769">I769</f>
        <v>0</v>
      </c>
      <c r="J768" s="53">
        <f t="shared" si="59"/>
        <v>2982.3</v>
      </c>
      <c r="K768" s="53">
        <f t="shared" si="59"/>
        <v>0</v>
      </c>
      <c r="L768" s="83"/>
    </row>
    <row r="769" spans="1:12" ht="32.25" customHeight="1">
      <c r="A769" s="2" t="s">
        <v>386</v>
      </c>
      <c r="B769" s="4" t="s">
        <v>343</v>
      </c>
      <c r="C769" s="4" t="s">
        <v>269</v>
      </c>
      <c r="D769" s="4" t="s">
        <v>264</v>
      </c>
      <c r="E769" s="4" t="s">
        <v>385</v>
      </c>
      <c r="F769" s="4"/>
      <c r="G769" s="6"/>
      <c r="H769" s="53">
        <f>H770</f>
        <v>2983</v>
      </c>
      <c r="I769" s="53">
        <f t="shared" si="59"/>
        <v>0</v>
      </c>
      <c r="J769" s="53">
        <f t="shared" si="59"/>
        <v>2982.3</v>
      </c>
      <c r="K769" s="53">
        <f t="shared" si="59"/>
        <v>0</v>
      </c>
      <c r="L769" s="83"/>
    </row>
    <row r="770" spans="1:12" ht="30" customHeight="1">
      <c r="A770" s="2" t="s">
        <v>431</v>
      </c>
      <c r="B770" s="4" t="s">
        <v>343</v>
      </c>
      <c r="C770" s="4" t="s">
        <v>269</v>
      </c>
      <c r="D770" s="4" t="s">
        <v>264</v>
      </c>
      <c r="E770" s="4" t="s">
        <v>385</v>
      </c>
      <c r="F770" s="4"/>
      <c r="G770" s="6" t="s">
        <v>421</v>
      </c>
      <c r="H770" s="53">
        <f>3000-17</f>
        <v>2983</v>
      </c>
      <c r="I770" s="53"/>
      <c r="J770" s="53">
        <v>2982.3</v>
      </c>
      <c r="K770" s="53"/>
      <c r="L770" s="83"/>
    </row>
    <row r="771" spans="1:12" ht="18.75" customHeight="1">
      <c r="A771" s="47" t="s">
        <v>355</v>
      </c>
      <c r="B771" s="4" t="s">
        <v>343</v>
      </c>
      <c r="C771" s="4" t="s">
        <v>268</v>
      </c>
      <c r="D771" s="4"/>
      <c r="E771" s="4"/>
      <c r="F771" s="4"/>
      <c r="G771" s="6"/>
      <c r="H771" s="53">
        <f>H772</f>
        <v>34800</v>
      </c>
      <c r="I771" s="53">
        <f>I772</f>
        <v>0</v>
      </c>
      <c r="J771" s="53">
        <f>J772</f>
        <v>34800</v>
      </c>
      <c r="K771" s="53">
        <f>K772</f>
        <v>0</v>
      </c>
      <c r="L771" s="83"/>
    </row>
    <row r="772" spans="1:12" ht="18.75" customHeight="1">
      <c r="A772" s="47" t="s">
        <v>163</v>
      </c>
      <c r="B772" s="4" t="s">
        <v>343</v>
      </c>
      <c r="C772" s="4" t="s">
        <v>268</v>
      </c>
      <c r="D772" s="4" t="s">
        <v>259</v>
      </c>
      <c r="E772" s="4"/>
      <c r="F772" s="4"/>
      <c r="G772" s="6"/>
      <c r="H772" s="53">
        <f>H773+H775</f>
        <v>34800</v>
      </c>
      <c r="I772" s="53">
        <f>I773+I775</f>
        <v>0</v>
      </c>
      <c r="J772" s="53">
        <f>J773+J775</f>
        <v>34800</v>
      </c>
      <c r="K772" s="53">
        <f>K773+K775</f>
        <v>0</v>
      </c>
      <c r="L772" s="83"/>
    </row>
    <row r="773" spans="1:12" ht="34.5" customHeight="1">
      <c r="A773" s="2" t="s">
        <v>218</v>
      </c>
      <c r="B773" s="4" t="s">
        <v>343</v>
      </c>
      <c r="C773" s="4" t="s">
        <v>268</v>
      </c>
      <c r="D773" s="4" t="s">
        <v>259</v>
      </c>
      <c r="E773" s="4" t="s">
        <v>164</v>
      </c>
      <c r="F773" s="4"/>
      <c r="G773" s="6"/>
      <c r="H773" s="53">
        <f>H774</f>
        <v>25000</v>
      </c>
      <c r="I773" s="53">
        <f>I774</f>
        <v>0</v>
      </c>
      <c r="J773" s="53">
        <f>J774</f>
        <v>25000</v>
      </c>
      <c r="K773" s="53">
        <f>K774</f>
        <v>0</v>
      </c>
      <c r="L773" s="83"/>
    </row>
    <row r="774" spans="1:12" ht="60.75" customHeight="1">
      <c r="A774" s="47" t="s">
        <v>106</v>
      </c>
      <c r="B774" s="4" t="s">
        <v>343</v>
      </c>
      <c r="C774" s="4" t="s">
        <v>268</v>
      </c>
      <c r="D774" s="4" t="s">
        <v>259</v>
      </c>
      <c r="E774" s="4" t="s">
        <v>49</v>
      </c>
      <c r="F774" s="4"/>
      <c r="G774" s="6" t="s">
        <v>50</v>
      </c>
      <c r="H774" s="53">
        <v>25000</v>
      </c>
      <c r="I774" s="53"/>
      <c r="J774" s="53">
        <v>25000</v>
      </c>
      <c r="K774" s="53"/>
      <c r="L774" s="83"/>
    </row>
    <row r="775" spans="1:12" ht="18" customHeight="1">
      <c r="A775" s="47" t="s">
        <v>150</v>
      </c>
      <c r="B775" s="4" t="s">
        <v>343</v>
      </c>
      <c r="C775" s="4" t="s">
        <v>268</v>
      </c>
      <c r="D775" s="4" t="s">
        <v>259</v>
      </c>
      <c r="E775" s="4" t="s">
        <v>165</v>
      </c>
      <c r="F775" s="4"/>
      <c r="G775" s="6"/>
      <c r="H775" s="53">
        <f>H776</f>
        <v>9800</v>
      </c>
      <c r="I775" s="53">
        <f>I776</f>
        <v>0</v>
      </c>
      <c r="J775" s="53">
        <f>J776</f>
        <v>9800</v>
      </c>
      <c r="K775" s="53">
        <f>K776</f>
        <v>0</v>
      </c>
      <c r="L775" s="83"/>
    </row>
    <row r="776" spans="1:12" ht="63.75" customHeight="1">
      <c r="A776" s="47" t="s">
        <v>22</v>
      </c>
      <c r="B776" s="4" t="s">
        <v>343</v>
      </c>
      <c r="C776" s="4" t="s">
        <v>268</v>
      </c>
      <c r="D776" s="4" t="s">
        <v>259</v>
      </c>
      <c r="E776" s="4" t="s">
        <v>52</v>
      </c>
      <c r="F776" s="4"/>
      <c r="G776" s="6" t="s">
        <v>50</v>
      </c>
      <c r="H776" s="53">
        <f>10000-200</f>
        <v>9800</v>
      </c>
      <c r="I776" s="53"/>
      <c r="J776" s="53">
        <v>9800</v>
      </c>
      <c r="K776" s="53"/>
      <c r="L776" s="83"/>
    </row>
    <row r="777" spans="1:12" ht="20.25" customHeight="1">
      <c r="A777" s="47" t="s">
        <v>144</v>
      </c>
      <c r="B777" s="3" t="s">
        <v>343</v>
      </c>
      <c r="C777" s="3" t="s">
        <v>266</v>
      </c>
      <c r="D777" s="3"/>
      <c r="E777" s="4"/>
      <c r="F777" s="4"/>
      <c r="G777" s="6"/>
      <c r="H777" s="53">
        <f>H778+H798</f>
        <v>43421.2</v>
      </c>
      <c r="I777" s="53">
        <f>I778+I798</f>
        <v>16872.3</v>
      </c>
      <c r="J777" s="53">
        <f>J778+J798</f>
        <v>14847.1</v>
      </c>
      <c r="K777" s="53">
        <f>K778+K798</f>
        <v>6121.3</v>
      </c>
      <c r="L777" s="83"/>
    </row>
    <row r="778" spans="1:12" ht="20.25" customHeight="1">
      <c r="A778" s="2" t="s">
        <v>201</v>
      </c>
      <c r="B778" s="3" t="s">
        <v>343</v>
      </c>
      <c r="C778" s="3" t="s">
        <v>266</v>
      </c>
      <c r="D778" s="3" t="s">
        <v>264</v>
      </c>
      <c r="E778" s="4"/>
      <c r="F778" s="4"/>
      <c r="G778" s="6"/>
      <c r="H778" s="53">
        <f>H779+H791+H795+H785</f>
        <v>33745</v>
      </c>
      <c r="I778" s="53">
        <f>I779+I791+I795+I785</f>
        <v>9672.3</v>
      </c>
      <c r="J778" s="53">
        <f>J779+J791+J795+J785</f>
        <v>6249.6</v>
      </c>
      <c r="K778" s="53">
        <f>K779+K791+K795+K785</f>
        <v>0</v>
      </c>
      <c r="L778" s="83"/>
    </row>
    <row r="779" spans="1:12" ht="20.25" customHeight="1">
      <c r="A779" s="2" t="s">
        <v>588</v>
      </c>
      <c r="B779" s="4" t="s">
        <v>343</v>
      </c>
      <c r="C779" s="4" t="s">
        <v>266</v>
      </c>
      <c r="D779" s="4" t="s">
        <v>264</v>
      </c>
      <c r="E779" s="4" t="s">
        <v>591</v>
      </c>
      <c r="F779" s="4"/>
      <c r="G779" s="6"/>
      <c r="H779" s="53">
        <f>H780</f>
        <v>17034.2</v>
      </c>
      <c r="I779" s="53">
        <f>I780</f>
        <v>0</v>
      </c>
      <c r="J779" s="53">
        <f>J780</f>
        <v>1131.2</v>
      </c>
      <c r="K779" s="53">
        <f>K780</f>
        <v>0</v>
      </c>
      <c r="L779" s="83"/>
    </row>
    <row r="780" spans="1:12" ht="27" customHeight="1">
      <c r="A780" s="2" t="s">
        <v>589</v>
      </c>
      <c r="B780" s="4" t="s">
        <v>343</v>
      </c>
      <c r="C780" s="4" t="s">
        <v>266</v>
      </c>
      <c r="D780" s="4" t="s">
        <v>264</v>
      </c>
      <c r="E780" s="4" t="s">
        <v>592</v>
      </c>
      <c r="F780" s="4"/>
      <c r="G780" s="6"/>
      <c r="H780" s="53">
        <f>H783+H782</f>
        <v>17034.2</v>
      </c>
      <c r="I780" s="53">
        <f>I783+I782</f>
        <v>0</v>
      </c>
      <c r="J780" s="53">
        <f>J783+J782</f>
        <v>1131.2</v>
      </c>
      <c r="K780" s="53">
        <f>K783+K782</f>
        <v>0</v>
      </c>
      <c r="L780" s="83"/>
    </row>
    <row r="781" spans="1:12" ht="31.5" customHeight="1">
      <c r="A781" s="2" t="s">
        <v>14</v>
      </c>
      <c r="B781" s="4" t="s">
        <v>343</v>
      </c>
      <c r="C781" s="4" t="s">
        <v>266</v>
      </c>
      <c r="D781" s="4" t="s">
        <v>264</v>
      </c>
      <c r="E781" s="4" t="s">
        <v>13</v>
      </c>
      <c r="F781" s="4"/>
      <c r="G781" s="6"/>
      <c r="H781" s="53">
        <f>H782</f>
        <v>15903</v>
      </c>
      <c r="I781" s="53">
        <f>I782</f>
        <v>0</v>
      </c>
      <c r="J781" s="53">
        <f>J782</f>
        <v>0</v>
      </c>
      <c r="K781" s="53">
        <f>K782</f>
        <v>0</v>
      </c>
      <c r="L781" s="83"/>
    </row>
    <row r="782" spans="1:12" ht="60" customHeight="1">
      <c r="A782" s="47" t="s">
        <v>372</v>
      </c>
      <c r="B782" s="4" t="s">
        <v>343</v>
      </c>
      <c r="C782" s="4" t="s">
        <v>266</v>
      </c>
      <c r="D782" s="4" t="s">
        <v>264</v>
      </c>
      <c r="E782" s="4" t="s">
        <v>13</v>
      </c>
      <c r="F782" s="4"/>
      <c r="G782" s="6" t="s">
        <v>227</v>
      </c>
      <c r="H782" s="53">
        <v>15903</v>
      </c>
      <c r="I782" s="53"/>
      <c r="J782" s="53"/>
      <c r="K782" s="53"/>
      <c r="L782" s="83"/>
    </row>
    <row r="783" spans="1:12" ht="20.25" customHeight="1">
      <c r="A783" s="2" t="s">
        <v>590</v>
      </c>
      <c r="B783" s="4" t="s">
        <v>343</v>
      </c>
      <c r="C783" s="4" t="s">
        <v>266</v>
      </c>
      <c r="D783" s="4" t="s">
        <v>264</v>
      </c>
      <c r="E783" s="4" t="s">
        <v>593</v>
      </c>
      <c r="F783" s="4"/>
      <c r="G783" s="6"/>
      <c r="H783" s="53">
        <f>H784</f>
        <v>1131.2</v>
      </c>
      <c r="I783" s="53">
        <f>I784</f>
        <v>0</v>
      </c>
      <c r="J783" s="53">
        <f>J784</f>
        <v>1131.2</v>
      </c>
      <c r="K783" s="53">
        <f>K784</f>
        <v>0</v>
      </c>
      <c r="L783" s="83"/>
    </row>
    <row r="784" spans="1:12" ht="29.25" customHeight="1">
      <c r="A784" s="2" t="s">
        <v>411</v>
      </c>
      <c r="B784" s="4" t="s">
        <v>343</v>
      </c>
      <c r="C784" s="4" t="s">
        <v>266</v>
      </c>
      <c r="D784" s="4" t="s">
        <v>264</v>
      </c>
      <c r="E784" s="4" t="s">
        <v>593</v>
      </c>
      <c r="F784" s="4"/>
      <c r="G784" s="6" t="s">
        <v>407</v>
      </c>
      <c r="H784" s="53">
        <f>1290.3-0.1-159</f>
        <v>1131.2</v>
      </c>
      <c r="I784" s="53"/>
      <c r="J784" s="53">
        <v>1131.2</v>
      </c>
      <c r="K784" s="53"/>
      <c r="L784" s="83"/>
    </row>
    <row r="785" spans="1:12" ht="16.5" customHeight="1">
      <c r="A785" s="2" t="s">
        <v>288</v>
      </c>
      <c r="B785" s="4" t="s">
        <v>343</v>
      </c>
      <c r="C785" s="4" t="s">
        <v>266</v>
      </c>
      <c r="D785" s="4" t="s">
        <v>264</v>
      </c>
      <c r="E785" s="4" t="s">
        <v>196</v>
      </c>
      <c r="F785" s="4"/>
      <c r="G785" s="6"/>
      <c r="H785" s="53">
        <f>H786</f>
        <v>11346.3</v>
      </c>
      <c r="I785" s="53">
        <f>I786</f>
        <v>9672.3</v>
      </c>
      <c r="J785" s="53">
        <f>J786</f>
        <v>0</v>
      </c>
      <c r="K785" s="53">
        <f>K786</f>
        <v>0</v>
      </c>
      <c r="L785" s="83"/>
    </row>
    <row r="786" spans="1:12" ht="132.75" customHeight="1">
      <c r="A786" s="61" t="s">
        <v>24</v>
      </c>
      <c r="B786" s="4" t="s">
        <v>343</v>
      </c>
      <c r="C786" s="4" t="s">
        <v>266</v>
      </c>
      <c r="D786" s="4" t="s">
        <v>264</v>
      </c>
      <c r="E786" s="4" t="s">
        <v>17</v>
      </c>
      <c r="F786" s="4"/>
      <c r="G786" s="6"/>
      <c r="H786" s="53">
        <f>H787+H789</f>
        <v>11346.3</v>
      </c>
      <c r="I786" s="53">
        <f>I787+I789</f>
        <v>9672.3</v>
      </c>
      <c r="J786" s="53">
        <f>J787+J789</f>
        <v>0</v>
      </c>
      <c r="K786" s="53">
        <f>K787+K789</f>
        <v>0</v>
      </c>
      <c r="L786" s="83"/>
    </row>
    <row r="787" spans="1:12" ht="71.25" customHeight="1">
      <c r="A787" s="61" t="s">
        <v>23</v>
      </c>
      <c r="B787" s="4" t="s">
        <v>343</v>
      </c>
      <c r="C787" s="4" t="s">
        <v>266</v>
      </c>
      <c r="D787" s="4" t="s">
        <v>264</v>
      </c>
      <c r="E787" s="4" t="s">
        <v>18</v>
      </c>
      <c r="F787" s="4"/>
      <c r="G787" s="6"/>
      <c r="H787" s="53">
        <f>H788</f>
        <v>1674</v>
      </c>
      <c r="I787" s="53">
        <f>I788</f>
        <v>0</v>
      </c>
      <c r="J787" s="53">
        <f>J788</f>
        <v>0</v>
      </c>
      <c r="K787" s="53">
        <f>K788</f>
        <v>0</v>
      </c>
      <c r="L787" s="83"/>
    </row>
    <row r="788" spans="1:12" ht="97.5" customHeight="1">
      <c r="A788" s="47" t="s">
        <v>90</v>
      </c>
      <c r="B788" s="4" t="s">
        <v>343</v>
      </c>
      <c r="C788" s="4" t="s">
        <v>266</v>
      </c>
      <c r="D788" s="4" t="s">
        <v>264</v>
      </c>
      <c r="E788" s="4" t="s">
        <v>18</v>
      </c>
      <c r="F788" s="4"/>
      <c r="G788" s="6" t="s">
        <v>227</v>
      </c>
      <c r="H788" s="53">
        <f>1674</f>
        <v>1674</v>
      </c>
      <c r="I788" s="53">
        <v>0</v>
      </c>
      <c r="J788" s="53"/>
      <c r="K788" s="53"/>
      <c r="L788" s="83"/>
    </row>
    <row r="789" spans="1:12" ht="63.75" customHeight="1">
      <c r="A789" s="2" t="s">
        <v>54</v>
      </c>
      <c r="B789" s="4" t="s">
        <v>343</v>
      </c>
      <c r="C789" s="4" t="s">
        <v>266</v>
      </c>
      <c r="D789" s="4" t="s">
        <v>264</v>
      </c>
      <c r="E789" s="4" t="s">
        <v>55</v>
      </c>
      <c r="F789" s="4"/>
      <c r="G789" s="6"/>
      <c r="H789" s="53">
        <f>H790</f>
        <v>9672.3</v>
      </c>
      <c r="I789" s="53">
        <f>I790</f>
        <v>9672.3</v>
      </c>
      <c r="J789" s="53">
        <f>J790</f>
        <v>0</v>
      </c>
      <c r="K789" s="53">
        <f>K790</f>
        <v>0</v>
      </c>
      <c r="L789" s="83"/>
    </row>
    <row r="790" spans="1:12" ht="87" customHeight="1">
      <c r="A790" s="47" t="s">
        <v>87</v>
      </c>
      <c r="B790" s="4" t="s">
        <v>343</v>
      </c>
      <c r="C790" s="4" t="s">
        <v>266</v>
      </c>
      <c r="D790" s="4" t="s">
        <v>264</v>
      </c>
      <c r="E790" s="4" t="s">
        <v>55</v>
      </c>
      <c r="F790" s="4"/>
      <c r="G790" s="6" t="s">
        <v>227</v>
      </c>
      <c r="H790" s="53">
        <f>1758.6+4396.5+3517.2</f>
        <v>9672.3</v>
      </c>
      <c r="I790" s="53">
        <f>1758.6+4396.5+3517.2</f>
        <v>9672.3</v>
      </c>
      <c r="J790" s="53"/>
      <c r="K790" s="53"/>
      <c r="L790" s="83"/>
    </row>
    <row r="791" spans="1:12" ht="20.25" customHeight="1">
      <c r="A791" s="2" t="s">
        <v>530</v>
      </c>
      <c r="B791" s="4" t="s">
        <v>343</v>
      </c>
      <c r="C791" s="4" t="s">
        <v>266</v>
      </c>
      <c r="D791" s="4" t="s">
        <v>264</v>
      </c>
      <c r="E791" s="4" t="s">
        <v>528</v>
      </c>
      <c r="F791" s="4"/>
      <c r="G791" s="6"/>
      <c r="H791" s="53">
        <f>H792</f>
        <v>1996</v>
      </c>
      <c r="I791" s="53">
        <f aca="true" t="shared" si="60" ref="I791:K793">I792</f>
        <v>0</v>
      </c>
      <c r="J791" s="53">
        <f t="shared" si="60"/>
        <v>1749.9</v>
      </c>
      <c r="K791" s="53">
        <f t="shared" si="60"/>
        <v>0</v>
      </c>
      <c r="L791" s="83"/>
    </row>
    <row r="792" spans="1:12" ht="35.25" customHeight="1">
      <c r="A792" s="2" t="s">
        <v>556</v>
      </c>
      <c r="B792" s="4" t="s">
        <v>343</v>
      </c>
      <c r="C792" s="4" t="s">
        <v>266</v>
      </c>
      <c r="D792" s="4" t="s">
        <v>264</v>
      </c>
      <c r="E792" s="4" t="s">
        <v>537</v>
      </c>
      <c r="F792" s="4"/>
      <c r="G792" s="6"/>
      <c r="H792" s="53">
        <f>H793</f>
        <v>1996</v>
      </c>
      <c r="I792" s="53">
        <f t="shared" si="60"/>
        <v>0</v>
      </c>
      <c r="J792" s="53">
        <f t="shared" si="60"/>
        <v>1749.9</v>
      </c>
      <c r="K792" s="53">
        <f t="shared" si="60"/>
        <v>0</v>
      </c>
      <c r="L792" s="83"/>
    </row>
    <row r="793" spans="1:12" ht="20.25" customHeight="1">
      <c r="A793" s="2" t="s">
        <v>597</v>
      </c>
      <c r="B793" s="4" t="s">
        <v>343</v>
      </c>
      <c r="C793" s="4" t="s">
        <v>266</v>
      </c>
      <c r="D793" s="4" t="s">
        <v>264</v>
      </c>
      <c r="E793" s="4" t="s">
        <v>598</v>
      </c>
      <c r="F793" s="4"/>
      <c r="G793" s="6"/>
      <c r="H793" s="53">
        <f>H794</f>
        <v>1996</v>
      </c>
      <c r="I793" s="53">
        <f t="shared" si="60"/>
        <v>0</v>
      </c>
      <c r="J793" s="53">
        <f t="shared" si="60"/>
        <v>1749.9</v>
      </c>
      <c r="K793" s="53">
        <f t="shared" si="60"/>
        <v>0</v>
      </c>
      <c r="L793" s="83"/>
    </row>
    <row r="794" spans="1:12" ht="33" customHeight="1">
      <c r="A794" s="2" t="s">
        <v>411</v>
      </c>
      <c r="B794" s="4" t="s">
        <v>343</v>
      </c>
      <c r="C794" s="4" t="s">
        <v>266</v>
      </c>
      <c r="D794" s="4" t="s">
        <v>264</v>
      </c>
      <c r="E794" s="4" t="s">
        <v>598</v>
      </c>
      <c r="F794" s="4"/>
      <c r="G794" s="6" t="s">
        <v>407</v>
      </c>
      <c r="H794" s="53">
        <f>1996</f>
        <v>1996</v>
      </c>
      <c r="I794" s="53"/>
      <c r="J794" s="53">
        <v>1749.9</v>
      </c>
      <c r="K794" s="53"/>
      <c r="L794" s="83"/>
    </row>
    <row r="795" spans="1:12" ht="18.75" customHeight="1">
      <c r="A795" s="2" t="s">
        <v>223</v>
      </c>
      <c r="B795" s="4" t="s">
        <v>343</v>
      </c>
      <c r="C795" s="4" t="s">
        <v>266</v>
      </c>
      <c r="D795" s="4" t="s">
        <v>264</v>
      </c>
      <c r="E795" s="4" t="s">
        <v>224</v>
      </c>
      <c r="F795" s="4"/>
      <c r="G795" s="6"/>
      <c r="H795" s="53">
        <f>H796</f>
        <v>3368.5</v>
      </c>
      <c r="I795" s="53">
        <f aca="true" t="shared" si="61" ref="I795:K796">I796</f>
        <v>0</v>
      </c>
      <c r="J795" s="53">
        <f t="shared" si="61"/>
        <v>3368.5</v>
      </c>
      <c r="K795" s="53">
        <f t="shared" si="61"/>
        <v>0</v>
      </c>
      <c r="L795" s="83"/>
    </row>
    <row r="796" spans="1:12" ht="42" customHeight="1">
      <c r="A796" s="2" t="s">
        <v>586</v>
      </c>
      <c r="B796" s="4" t="s">
        <v>343</v>
      </c>
      <c r="C796" s="4" t="s">
        <v>266</v>
      </c>
      <c r="D796" s="4" t="s">
        <v>264</v>
      </c>
      <c r="E796" s="4" t="s">
        <v>504</v>
      </c>
      <c r="F796" s="4"/>
      <c r="G796" s="6"/>
      <c r="H796" s="53">
        <f>H797</f>
        <v>3368.5</v>
      </c>
      <c r="I796" s="53">
        <f t="shared" si="61"/>
        <v>0</v>
      </c>
      <c r="J796" s="53">
        <f t="shared" si="61"/>
        <v>3368.5</v>
      </c>
      <c r="K796" s="53">
        <f t="shared" si="61"/>
        <v>0</v>
      </c>
      <c r="L796" s="83"/>
    </row>
    <row r="797" spans="1:12" ht="33.75" customHeight="1">
      <c r="A797" s="2" t="s">
        <v>210</v>
      </c>
      <c r="B797" s="4" t="s">
        <v>343</v>
      </c>
      <c r="C797" s="4" t="s">
        <v>587</v>
      </c>
      <c r="D797" s="4" t="s">
        <v>264</v>
      </c>
      <c r="E797" s="4" t="s">
        <v>504</v>
      </c>
      <c r="F797" s="4"/>
      <c r="G797" s="6" t="s">
        <v>458</v>
      </c>
      <c r="H797" s="53">
        <f>3848.2-479.7</f>
        <v>3368.5</v>
      </c>
      <c r="I797" s="53"/>
      <c r="J797" s="53">
        <v>3368.5</v>
      </c>
      <c r="K797" s="53"/>
      <c r="L797" s="83"/>
    </row>
    <row r="798" spans="1:12" ht="15" customHeight="1">
      <c r="A798" s="2" t="s">
        <v>302</v>
      </c>
      <c r="B798" s="4" t="s">
        <v>343</v>
      </c>
      <c r="C798" s="4" t="s">
        <v>266</v>
      </c>
      <c r="D798" s="4" t="s">
        <v>261</v>
      </c>
      <c r="E798" s="4"/>
      <c r="F798" s="4"/>
      <c r="G798" s="6"/>
      <c r="H798" s="53">
        <f>H799</f>
        <v>9676.2</v>
      </c>
      <c r="I798" s="53">
        <f aca="true" t="shared" si="62" ref="I798:K799">I799</f>
        <v>7200</v>
      </c>
      <c r="J798" s="53">
        <f t="shared" si="62"/>
        <v>8597.5</v>
      </c>
      <c r="K798" s="53">
        <f t="shared" si="62"/>
        <v>6121.3</v>
      </c>
      <c r="L798" s="83"/>
    </row>
    <row r="799" spans="1:12" ht="21.75" customHeight="1">
      <c r="A799" s="2" t="s">
        <v>288</v>
      </c>
      <c r="B799" s="4" t="s">
        <v>343</v>
      </c>
      <c r="C799" s="4" t="s">
        <v>266</v>
      </c>
      <c r="D799" s="4" t="s">
        <v>261</v>
      </c>
      <c r="E799" s="4" t="s">
        <v>196</v>
      </c>
      <c r="F799" s="4"/>
      <c r="G799" s="6"/>
      <c r="H799" s="53">
        <f>H800</f>
        <v>9676.2</v>
      </c>
      <c r="I799" s="53">
        <f t="shared" si="62"/>
        <v>7200</v>
      </c>
      <c r="J799" s="53">
        <f t="shared" si="62"/>
        <v>8597.5</v>
      </c>
      <c r="K799" s="53">
        <f t="shared" si="62"/>
        <v>6121.3</v>
      </c>
      <c r="L799" s="83"/>
    </row>
    <row r="800" spans="1:12" ht="58.5" customHeight="1">
      <c r="A800" s="2" t="s">
        <v>25</v>
      </c>
      <c r="B800" s="4" t="s">
        <v>343</v>
      </c>
      <c r="C800" s="4" t="s">
        <v>266</v>
      </c>
      <c r="D800" s="4" t="s">
        <v>261</v>
      </c>
      <c r="E800" s="4" t="s">
        <v>15</v>
      </c>
      <c r="F800" s="4"/>
      <c r="G800" s="6"/>
      <c r="H800" s="53">
        <f>H801+H803</f>
        <v>9676.2</v>
      </c>
      <c r="I800" s="53">
        <f>I801+I803</f>
        <v>7200</v>
      </c>
      <c r="J800" s="53">
        <f>J801+J803</f>
        <v>8597.5</v>
      </c>
      <c r="K800" s="53">
        <f>K801+K803</f>
        <v>6121.3</v>
      </c>
      <c r="L800" s="83"/>
    </row>
    <row r="801" spans="1:12" ht="65.25" customHeight="1">
      <c r="A801" s="2" t="s">
        <v>26</v>
      </c>
      <c r="B801" s="4" t="s">
        <v>343</v>
      </c>
      <c r="C801" s="4" t="s">
        <v>266</v>
      </c>
      <c r="D801" s="4" t="s">
        <v>261</v>
      </c>
      <c r="E801" s="4" t="s">
        <v>16</v>
      </c>
      <c r="F801" s="4"/>
      <c r="G801" s="6"/>
      <c r="H801" s="53">
        <f>H802</f>
        <v>2476.2</v>
      </c>
      <c r="I801" s="53">
        <f>I802</f>
        <v>0</v>
      </c>
      <c r="J801" s="53">
        <f>J802</f>
        <v>2476.2</v>
      </c>
      <c r="K801" s="53">
        <f>K802</f>
        <v>0</v>
      </c>
      <c r="L801" s="83"/>
    </row>
    <row r="802" spans="1:12" ht="88.5" customHeight="1">
      <c r="A802" s="47" t="s">
        <v>84</v>
      </c>
      <c r="B802" s="4" t="s">
        <v>343</v>
      </c>
      <c r="C802" s="4" t="s">
        <v>266</v>
      </c>
      <c r="D802" s="4" t="s">
        <v>261</v>
      </c>
      <c r="E802" s="4" t="s">
        <v>16</v>
      </c>
      <c r="F802" s="4"/>
      <c r="G802" s="6" t="s">
        <v>227</v>
      </c>
      <c r="H802" s="53">
        <f>2476.2+3600-3600</f>
        <v>2476.2</v>
      </c>
      <c r="I802" s="53"/>
      <c r="J802" s="53">
        <v>2476.2</v>
      </c>
      <c r="K802" s="53"/>
      <c r="L802" s="83"/>
    </row>
    <row r="803" spans="1:12" ht="56.25" customHeight="1">
      <c r="A803" s="2" t="s">
        <v>481</v>
      </c>
      <c r="B803" s="4" t="s">
        <v>343</v>
      </c>
      <c r="C803" s="4" t="s">
        <v>266</v>
      </c>
      <c r="D803" s="4" t="s">
        <v>261</v>
      </c>
      <c r="E803" s="4" t="s">
        <v>77</v>
      </c>
      <c r="F803" s="4"/>
      <c r="G803" s="6"/>
      <c r="H803" s="53">
        <f>H804</f>
        <v>7200</v>
      </c>
      <c r="I803" s="53">
        <f>I804</f>
        <v>7200</v>
      </c>
      <c r="J803" s="53">
        <f>J804</f>
        <v>6121.3</v>
      </c>
      <c r="K803" s="53">
        <f>K804</f>
        <v>6121.3</v>
      </c>
      <c r="L803" s="83"/>
    </row>
    <row r="804" spans="1:12" ht="87" customHeight="1">
      <c r="A804" s="47" t="s">
        <v>83</v>
      </c>
      <c r="B804" s="4" t="s">
        <v>343</v>
      </c>
      <c r="C804" s="4" t="s">
        <v>266</v>
      </c>
      <c r="D804" s="4" t="s">
        <v>261</v>
      </c>
      <c r="E804" s="4" t="s">
        <v>77</v>
      </c>
      <c r="F804" s="4"/>
      <c r="G804" s="6" t="s">
        <v>227</v>
      </c>
      <c r="H804" s="53">
        <f>3600+3600</f>
        <v>7200</v>
      </c>
      <c r="I804" s="53">
        <f>3600+3600</f>
        <v>7200</v>
      </c>
      <c r="J804" s="53">
        <v>6121.3</v>
      </c>
      <c r="K804" s="53">
        <v>6121.3</v>
      </c>
      <c r="L804" s="83"/>
    </row>
    <row r="805" spans="1:12" ht="36" customHeight="1">
      <c r="A805" s="45" t="s">
        <v>466</v>
      </c>
      <c r="B805" s="3" t="s">
        <v>413</v>
      </c>
      <c r="C805" s="4"/>
      <c r="D805" s="4"/>
      <c r="E805" s="4"/>
      <c r="F805" s="4"/>
      <c r="G805" s="5"/>
      <c r="H805" s="48">
        <f>H806</f>
        <v>4843</v>
      </c>
      <c r="I805" s="48">
        <f aca="true" t="shared" si="63" ref="I805:K806">I806</f>
        <v>0</v>
      </c>
      <c r="J805" s="48">
        <f t="shared" si="63"/>
        <v>4385</v>
      </c>
      <c r="K805" s="48">
        <f t="shared" si="63"/>
        <v>0</v>
      </c>
      <c r="L805" s="63">
        <f>J805/H805*100</f>
        <v>90.54305182737973</v>
      </c>
    </row>
    <row r="806" spans="1:12" ht="15">
      <c r="A806" s="47" t="s">
        <v>153</v>
      </c>
      <c r="B806" s="3" t="s">
        <v>413</v>
      </c>
      <c r="C806" s="3" t="s">
        <v>259</v>
      </c>
      <c r="D806" s="3"/>
      <c r="E806" s="3"/>
      <c r="F806" s="3"/>
      <c r="G806" s="5"/>
      <c r="H806" s="53">
        <f>H807</f>
        <v>4843</v>
      </c>
      <c r="I806" s="53">
        <f t="shared" si="63"/>
        <v>0</v>
      </c>
      <c r="J806" s="53">
        <f t="shared" si="63"/>
        <v>4385</v>
      </c>
      <c r="K806" s="53">
        <f t="shared" si="63"/>
        <v>0</v>
      </c>
      <c r="L806" s="83"/>
    </row>
    <row r="807" spans="1:12" ht="45">
      <c r="A807" s="47" t="s">
        <v>316</v>
      </c>
      <c r="B807" s="3" t="s">
        <v>413</v>
      </c>
      <c r="C807" s="3" t="s">
        <v>259</v>
      </c>
      <c r="D807" s="3" t="s">
        <v>272</v>
      </c>
      <c r="E807" s="3"/>
      <c r="F807" s="3"/>
      <c r="G807" s="6"/>
      <c r="H807" s="53">
        <f>H808+H817</f>
        <v>4843</v>
      </c>
      <c r="I807" s="53">
        <f>I808+I817</f>
        <v>0</v>
      </c>
      <c r="J807" s="53">
        <f>J808+J817</f>
        <v>4385</v>
      </c>
      <c r="K807" s="53">
        <f>K808+K817</f>
        <v>0</v>
      </c>
      <c r="L807" s="83"/>
    </row>
    <row r="808" spans="1:12" ht="42.75">
      <c r="A808" s="2" t="s">
        <v>296</v>
      </c>
      <c r="B808" s="4" t="s">
        <v>413</v>
      </c>
      <c r="C808" s="4" t="s">
        <v>259</v>
      </c>
      <c r="D808" s="4" t="s">
        <v>272</v>
      </c>
      <c r="E808" s="4" t="s">
        <v>293</v>
      </c>
      <c r="F808" s="4"/>
      <c r="G808" s="6"/>
      <c r="H808" s="53">
        <f>H809+H811</f>
        <v>3750</v>
      </c>
      <c r="I808" s="53">
        <f>I809+I811</f>
        <v>0</v>
      </c>
      <c r="J808" s="53">
        <f>J809+J811</f>
        <v>3481.7</v>
      </c>
      <c r="K808" s="53">
        <f>K809+K811</f>
        <v>0</v>
      </c>
      <c r="L808" s="83"/>
    </row>
    <row r="809" spans="1:12" ht="32.25" customHeight="1">
      <c r="A809" s="2" t="s">
        <v>6</v>
      </c>
      <c r="B809" s="4" t="s">
        <v>413</v>
      </c>
      <c r="C809" s="4" t="s">
        <v>259</v>
      </c>
      <c r="D809" s="4" t="s">
        <v>272</v>
      </c>
      <c r="E809" s="4" t="s">
        <v>5</v>
      </c>
      <c r="F809" s="4"/>
      <c r="G809" s="6"/>
      <c r="H809" s="53">
        <f>H810</f>
        <v>1174.5</v>
      </c>
      <c r="I809" s="53">
        <f>I810</f>
        <v>0</v>
      </c>
      <c r="J809" s="53">
        <f>J810</f>
        <v>1158.3</v>
      </c>
      <c r="K809" s="53">
        <f>K810</f>
        <v>0</v>
      </c>
      <c r="L809" s="83"/>
    </row>
    <row r="810" spans="1:12" ht="14.25">
      <c r="A810" s="2" t="s">
        <v>415</v>
      </c>
      <c r="B810" s="4" t="s">
        <v>413</v>
      </c>
      <c r="C810" s="4" t="s">
        <v>259</v>
      </c>
      <c r="D810" s="4" t="s">
        <v>272</v>
      </c>
      <c r="E810" s="4" t="s">
        <v>5</v>
      </c>
      <c r="F810" s="4"/>
      <c r="G810" s="6" t="s">
        <v>414</v>
      </c>
      <c r="H810" s="53">
        <f>3035-1850-2.1-8.4</f>
        <v>1174.5</v>
      </c>
      <c r="I810" s="53"/>
      <c r="J810" s="53">
        <v>1158.3</v>
      </c>
      <c r="K810" s="53"/>
      <c r="L810" s="83"/>
    </row>
    <row r="811" spans="1:12" ht="14.25">
      <c r="A811" s="2" t="s">
        <v>8</v>
      </c>
      <c r="B811" s="4" t="s">
        <v>413</v>
      </c>
      <c r="C811" s="4" t="s">
        <v>259</v>
      </c>
      <c r="D811" s="4" t="s">
        <v>272</v>
      </c>
      <c r="E811" s="4" t="s">
        <v>7</v>
      </c>
      <c r="F811" s="4"/>
      <c r="G811" s="6"/>
      <c r="H811" s="53">
        <f>H812+H814+H813</f>
        <v>2575.5</v>
      </c>
      <c r="I811" s="53">
        <f>I812+I814+I813</f>
        <v>0</v>
      </c>
      <c r="J811" s="53">
        <f>J812+J814+J813</f>
        <v>2323.4</v>
      </c>
      <c r="K811" s="53">
        <f>K812+K814+K813</f>
        <v>0</v>
      </c>
      <c r="L811" s="83"/>
    </row>
    <row r="812" spans="1:12" ht="14.25">
      <c r="A812" s="2" t="s">
        <v>415</v>
      </c>
      <c r="B812" s="4" t="s">
        <v>413</v>
      </c>
      <c r="C812" s="4" t="s">
        <v>259</v>
      </c>
      <c r="D812" s="4" t="s">
        <v>272</v>
      </c>
      <c r="E812" s="4" t="s">
        <v>7</v>
      </c>
      <c r="F812" s="4"/>
      <c r="G812" s="6" t="s">
        <v>414</v>
      </c>
      <c r="H812" s="53">
        <f>1850-200-500+600-147.9</f>
        <v>1602.1</v>
      </c>
      <c r="I812" s="53"/>
      <c r="J812" s="53">
        <v>1442.5</v>
      </c>
      <c r="K812" s="53"/>
      <c r="L812" s="83"/>
    </row>
    <row r="813" spans="1:12" ht="28.5">
      <c r="A813" s="2" t="s">
        <v>417</v>
      </c>
      <c r="B813" s="4" t="s">
        <v>413</v>
      </c>
      <c r="C813" s="4" t="s">
        <v>259</v>
      </c>
      <c r="D813" s="4" t="s">
        <v>272</v>
      </c>
      <c r="E813" s="4" t="s">
        <v>7</v>
      </c>
      <c r="F813" s="4"/>
      <c r="G813" s="6" t="s">
        <v>416</v>
      </c>
      <c r="H813" s="53">
        <v>8.4</v>
      </c>
      <c r="I813" s="53"/>
      <c r="J813" s="53">
        <v>7.8</v>
      </c>
      <c r="K813" s="53"/>
      <c r="L813" s="83"/>
    </row>
    <row r="814" spans="1:12" ht="28.5">
      <c r="A814" s="2" t="s">
        <v>599</v>
      </c>
      <c r="B814" s="4" t="s">
        <v>413</v>
      </c>
      <c r="C814" s="4" t="s">
        <v>259</v>
      </c>
      <c r="D814" s="4" t="s">
        <v>272</v>
      </c>
      <c r="E814" s="4" t="s">
        <v>7</v>
      </c>
      <c r="F814" s="4"/>
      <c r="G814" s="6" t="s">
        <v>526</v>
      </c>
      <c r="H814" s="53">
        <f>H815+H816</f>
        <v>965</v>
      </c>
      <c r="I814" s="53">
        <f>I815+I816</f>
        <v>0</v>
      </c>
      <c r="J814" s="53">
        <f>J815+J816</f>
        <v>873.1</v>
      </c>
      <c r="K814" s="53">
        <f>K815+K816</f>
        <v>0</v>
      </c>
      <c r="L814" s="83"/>
    </row>
    <row r="815" spans="1:12" ht="28.5">
      <c r="A815" s="2" t="s">
        <v>440</v>
      </c>
      <c r="B815" s="4" t="s">
        <v>413</v>
      </c>
      <c r="C815" s="4" t="s">
        <v>259</v>
      </c>
      <c r="D815" s="4" t="s">
        <v>272</v>
      </c>
      <c r="E815" s="4" t="s">
        <v>7</v>
      </c>
      <c r="F815" s="4"/>
      <c r="G815" s="6" t="s">
        <v>437</v>
      </c>
      <c r="H815" s="53">
        <v>48</v>
      </c>
      <c r="I815" s="53"/>
      <c r="J815" s="53">
        <v>43</v>
      </c>
      <c r="K815" s="53"/>
      <c r="L815" s="83"/>
    </row>
    <row r="816" spans="1:12" ht="27.75" customHeight="1">
      <c r="A816" s="2" t="s">
        <v>431</v>
      </c>
      <c r="B816" s="4" t="s">
        <v>413</v>
      </c>
      <c r="C816" s="4" t="s">
        <v>259</v>
      </c>
      <c r="D816" s="4" t="s">
        <v>272</v>
      </c>
      <c r="E816" s="4" t="s">
        <v>7</v>
      </c>
      <c r="F816" s="4"/>
      <c r="G816" s="6" t="s">
        <v>421</v>
      </c>
      <c r="H816" s="53">
        <f>567+200+150</f>
        <v>917</v>
      </c>
      <c r="I816" s="53"/>
      <c r="J816" s="53">
        <v>830.1</v>
      </c>
      <c r="K816" s="53"/>
      <c r="L816" s="83"/>
    </row>
    <row r="817" spans="1:12" ht="15.75" customHeight="1">
      <c r="A817" s="47" t="s">
        <v>190</v>
      </c>
      <c r="B817" s="3" t="s">
        <v>413</v>
      </c>
      <c r="C817" s="3" t="s">
        <v>259</v>
      </c>
      <c r="D817" s="3" t="s">
        <v>326</v>
      </c>
      <c r="E817" s="3"/>
      <c r="F817" s="3"/>
      <c r="G817" s="6"/>
      <c r="H817" s="53">
        <f>H818</f>
        <v>1093</v>
      </c>
      <c r="I817" s="53">
        <f aca="true" t="shared" si="64" ref="I817:K818">I818</f>
        <v>0</v>
      </c>
      <c r="J817" s="53">
        <f t="shared" si="64"/>
        <v>903.3</v>
      </c>
      <c r="K817" s="53">
        <f t="shared" si="64"/>
        <v>0</v>
      </c>
      <c r="L817" s="83"/>
    </row>
    <row r="818" spans="1:12" ht="18" customHeight="1">
      <c r="A818" s="2" t="s">
        <v>223</v>
      </c>
      <c r="B818" s="4" t="s">
        <v>413</v>
      </c>
      <c r="C818" s="4" t="s">
        <v>259</v>
      </c>
      <c r="D818" s="4" t="s">
        <v>326</v>
      </c>
      <c r="E818" s="4" t="s">
        <v>224</v>
      </c>
      <c r="F818" s="4"/>
      <c r="G818" s="6"/>
      <c r="H818" s="53">
        <f>H819</f>
        <v>1093</v>
      </c>
      <c r="I818" s="53">
        <f t="shared" si="64"/>
        <v>0</v>
      </c>
      <c r="J818" s="53">
        <f t="shared" si="64"/>
        <v>903.3</v>
      </c>
      <c r="K818" s="53">
        <f t="shared" si="64"/>
        <v>0</v>
      </c>
      <c r="L818" s="83"/>
    </row>
    <row r="819" spans="1:12" ht="42.75">
      <c r="A819" s="2" t="s">
        <v>352</v>
      </c>
      <c r="B819" s="4" t="s">
        <v>413</v>
      </c>
      <c r="C819" s="4" t="s">
        <v>259</v>
      </c>
      <c r="D819" s="4" t="s">
        <v>326</v>
      </c>
      <c r="E819" s="4" t="s">
        <v>277</v>
      </c>
      <c r="F819" s="4"/>
      <c r="G819" s="6"/>
      <c r="H819" s="53">
        <f>H820+H822+H821</f>
        <v>1093</v>
      </c>
      <c r="I819" s="53">
        <f>I820+I822+I821</f>
        <v>0</v>
      </c>
      <c r="J819" s="53">
        <f>J820+J822+J821</f>
        <v>903.3</v>
      </c>
      <c r="K819" s="53">
        <f>K820+K822+K821</f>
        <v>0</v>
      </c>
      <c r="L819" s="83"/>
    </row>
    <row r="820" spans="1:12" ht="33" customHeight="1">
      <c r="A820" s="2" t="s">
        <v>417</v>
      </c>
      <c r="B820" s="4" t="s">
        <v>413</v>
      </c>
      <c r="C820" s="4" t="s">
        <v>259</v>
      </c>
      <c r="D820" s="4" t="s">
        <v>326</v>
      </c>
      <c r="E820" s="4" t="s">
        <v>277</v>
      </c>
      <c r="F820" s="4"/>
      <c r="G820" s="6" t="s">
        <v>416</v>
      </c>
      <c r="H820" s="53">
        <f>809.4-94.2-16.5-129</f>
        <v>569.6999999999999</v>
      </c>
      <c r="I820" s="53"/>
      <c r="J820" s="53">
        <v>464.3</v>
      </c>
      <c r="K820" s="53"/>
      <c r="L820" s="83"/>
    </row>
    <row r="821" spans="1:12" ht="33" customHeight="1">
      <c r="A821" s="2" t="s">
        <v>440</v>
      </c>
      <c r="B821" s="4" t="s">
        <v>413</v>
      </c>
      <c r="C821" s="4" t="s">
        <v>259</v>
      </c>
      <c r="D821" s="4" t="s">
        <v>326</v>
      </c>
      <c r="E821" s="4" t="s">
        <v>277</v>
      </c>
      <c r="F821" s="4"/>
      <c r="G821" s="6" t="s">
        <v>437</v>
      </c>
      <c r="H821" s="53">
        <v>338.9</v>
      </c>
      <c r="I821" s="53"/>
      <c r="J821" s="53">
        <v>256.2</v>
      </c>
      <c r="K821" s="53"/>
      <c r="L821" s="83"/>
    </row>
    <row r="822" spans="1:12" ht="30" customHeight="1">
      <c r="A822" s="2" t="s">
        <v>431</v>
      </c>
      <c r="B822" s="4" t="s">
        <v>413</v>
      </c>
      <c r="C822" s="4" t="s">
        <v>259</v>
      </c>
      <c r="D822" s="4" t="s">
        <v>326</v>
      </c>
      <c r="E822" s="4" t="s">
        <v>277</v>
      </c>
      <c r="F822" s="4"/>
      <c r="G822" s="6" t="s">
        <v>421</v>
      </c>
      <c r="H822" s="53">
        <v>184.4</v>
      </c>
      <c r="I822" s="53"/>
      <c r="J822" s="53">
        <v>182.8</v>
      </c>
      <c r="K822" s="53"/>
      <c r="L822" s="83"/>
    </row>
    <row r="823" spans="1:12" ht="41.25" customHeight="1">
      <c r="A823" s="62" t="s">
        <v>184</v>
      </c>
      <c r="B823" s="63" t="s">
        <v>175</v>
      </c>
      <c r="C823" s="63" t="s">
        <v>174</v>
      </c>
      <c r="D823" s="64" t="s">
        <v>221</v>
      </c>
      <c r="E823" s="63" t="s">
        <v>173</v>
      </c>
      <c r="F823" s="63"/>
      <c r="G823" s="52"/>
      <c r="H823" s="48">
        <f>H11+H364+H510+H645+H669+H698+H726+H805</f>
        <v>3495200.1</v>
      </c>
      <c r="I823" s="48">
        <f>I11+I364+I510+I645+I669+I698+I726+I805</f>
        <v>1556504.5999999996</v>
      </c>
      <c r="J823" s="48">
        <f>J11+J364+J510+J645+J669+J698+J726+J805</f>
        <v>3274379.4</v>
      </c>
      <c r="K823" s="48">
        <f>K11+K364+K510+K645+K669+K698+K726+K805</f>
        <v>1496194.9000000001</v>
      </c>
      <c r="L823" s="63">
        <f>J823/H823*100</f>
        <v>93.68217287473756</v>
      </c>
    </row>
    <row r="824" spans="1:4" ht="14.25">
      <c r="A824" s="65"/>
      <c r="B824" s="66"/>
      <c r="C824" s="66"/>
      <c r="D824" s="66"/>
    </row>
    <row r="825" ht="14.25">
      <c r="A825" s="65"/>
    </row>
    <row r="826" ht="14.25">
      <c r="A826" s="65"/>
    </row>
    <row r="827" ht="14.25">
      <c r="A827" s="65"/>
    </row>
    <row r="828" spans="1:12" ht="14.25">
      <c r="A828" s="65"/>
      <c r="H828" s="69"/>
      <c r="I828" s="69"/>
      <c r="J828" s="69"/>
      <c r="K828" s="69"/>
      <c r="L828" s="69"/>
    </row>
    <row r="829" ht="14.25">
      <c r="A829" s="65"/>
    </row>
    <row r="830" ht="14.25">
      <c r="A830" s="65"/>
    </row>
    <row r="831" ht="14.25">
      <c r="A831" s="65"/>
    </row>
    <row r="832" ht="14.25">
      <c r="A832" s="65"/>
    </row>
    <row r="833" ht="14.25">
      <c r="A833" s="65"/>
    </row>
    <row r="834" ht="14.25">
      <c r="A834" s="65"/>
    </row>
    <row r="835" ht="14.25">
      <c r="A835" s="65"/>
    </row>
    <row r="836" ht="14.25">
      <c r="A836" s="65"/>
    </row>
    <row r="837" ht="14.25">
      <c r="A837" s="65"/>
    </row>
    <row r="838" ht="14.25">
      <c r="A838" s="65"/>
    </row>
    <row r="839" ht="14.25">
      <c r="A839" s="65"/>
    </row>
    <row r="840" ht="14.25">
      <c r="A840" s="65"/>
    </row>
    <row r="841" ht="14.25">
      <c r="A841" s="65"/>
    </row>
    <row r="842" ht="14.25">
      <c r="A842" s="65"/>
    </row>
    <row r="843" ht="14.25">
      <c r="A843" s="65"/>
    </row>
    <row r="844" ht="14.25">
      <c r="A844" s="65"/>
    </row>
    <row r="845" ht="14.25">
      <c r="A845" s="65"/>
    </row>
    <row r="846" ht="14.25">
      <c r="A846" s="65"/>
    </row>
    <row r="847" ht="14.25">
      <c r="A847" s="65"/>
    </row>
    <row r="848" ht="14.25">
      <c r="A848" s="65"/>
    </row>
    <row r="849" ht="14.25">
      <c r="A849" s="65"/>
    </row>
    <row r="850" ht="14.25">
      <c r="A850" s="65"/>
    </row>
    <row r="851" ht="14.25">
      <c r="A851" s="65"/>
    </row>
    <row r="852" ht="14.25">
      <c r="A852" s="65"/>
    </row>
    <row r="853" ht="14.25">
      <c r="A853" s="65"/>
    </row>
    <row r="854" ht="14.25">
      <c r="A854" s="65"/>
    </row>
    <row r="855" ht="14.25">
      <c r="A855" s="65"/>
    </row>
    <row r="856" ht="14.25">
      <c r="A856" s="65"/>
    </row>
    <row r="857" ht="14.25">
      <c r="A857" s="65"/>
    </row>
    <row r="858" ht="14.25">
      <c r="A858" s="65"/>
    </row>
    <row r="859" ht="14.25">
      <c r="A859" s="65"/>
    </row>
    <row r="860" ht="14.25">
      <c r="A860" s="65"/>
    </row>
    <row r="861" ht="14.25">
      <c r="A861" s="65"/>
    </row>
    <row r="862" ht="14.25">
      <c r="A862" s="65"/>
    </row>
    <row r="863" ht="14.25">
      <c r="A863" s="65"/>
    </row>
    <row r="864" ht="14.25">
      <c r="A864" s="65"/>
    </row>
    <row r="865" ht="14.25">
      <c r="A865" s="65"/>
    </row>
    <row r="866" ht="14.25">
      <c r="A866" s="65"/>
    </row>
    <row r="867" ht="14.25">
      <c r="A867" s="65"/>
    </row>
    <row r="868" ht="14.25">
      <c r="A868" s="65"/>
    </row>
    <row r="869" ht="14.25">
      <c r="A869" s="65"/>
    </row>
    <row r="870" ht="14.25">
      <c r="A870" s="65"/>
    </row>
    <row r="871" ht="14.25">
      <c r="A871" s="65"/>
    </row>
    <row r="872" ht="14.25">
      <c r="A872" s="65"/>
    </row>
    <row r="873" ht="14.25">
      <c r="A873" s="65"/>
    </row>
    <row r="874" ht="14.25">
      <c r="A874" s="65"/>
    </row>
    <row r="875" ht="14.25">
      <c r="A875" s="65"/>
    </row>
    <row r="876" ht="14.25">
      <c r="A876" s="65"/>
    </row>
    <row r="877" ht="14.25">
      <c r="A877" s="65"/>
    </row>
    <row r="878" ht="14.25">
      <c r="A878" s="65"/>
    </row>
    <row r="879" ht="14.25">
      <c r="A879" s="65"/>
    </row>
    <row r="880" ht="14.25">
      <c r="A880" s="65"/>
    </row>
    <row r="881" ht="14.25">
      <c r="A881" s="65"/>
    </row>
    <row r="882" ht="14.25">
      <c r="A882" s="65"/>
    </row>
    <row r="883" ht="14.25">
      <c r="A883" s="65"/>
    </row>
    <row r="884" ht="14.25">
      <c r="A884" s="65"/>
    </row>
    <row r="885" ht="14.25">
      <c r="A885" s="65"/>
    </row>
    <row r="886" ht="14.25">
      <c r="A886" s="65"/>
    </row>
    <row r="887" ht="14.25">
      <c r="A887" s="65"/>
    </row>
    <row r="888" ht="14.25">
      <c r="A888" s="65"/>
    </row>
    <row r="889" ht="14.25">
      <c r="A889" s="65"/>
    </row>
    <row r="890" ht="14.25">
      <c r="A890" s="65"/>
    </row>
    <row r="891" ht="14.25">
      <c r="A891" s="65"/>
    </row>
    <row r="892" ht="14.25">
      <c r="A892" s="65"/>
    </row>
    <row r="893" ht="14.25">
      <c r="A893" s="65"/>
    </row>
    <row r="894" ht="14.25">
      <c r="A894" s="65"/>
    </row>
    <row r="895" ht="14.25">
      <c r="A895" s="65"/>
    </row>
    <row r="896" ht="14.25">
      <c r="A896" s="65"/>
    </row>
    <row r="897" ht="14.25">
      <c r="A897" s="65"/>
    </row>
    <row r="898" ht="14.25">
      <c r="A898" s="65"/>
    </row>
    <row r="899" ht="14.25">
      <c r="A899" s="65"/>
    </row>
    <row r="900" ht="14.25">
      <c r="A900" s="65"/>
    </row>
    <row r="901" ht="14.25">
      <c r="A901" s="65"/>
    </row>
    <row r="902" ht="14.25">
      <c r="A902" s="65"/>
    </row>
    <row r="903" ht="14.25">
      <c r="A903" s="65"/>
    </row>
    <row r="904" ht="14.25">
      <c r="A904" s="65"/>
    </row>
    <row r="905" ht="14.25">
      <c r="A905" s="65"/>
    </row>
    <row r="906" ht="14.25">
      <c r="A906" s="65"/>
    </row>
    <row r="907" ht="14.25">
      <c r="A907" s="65"/>
    </row>
    <row r="908" ht="14.25">
      <c r="A908" s="65"/>
    </row>
    <row r="909" ht="14.25">
      <c r="A909" s="65"/>
    </row>
    <row r="910" ht="14.25">
      <c r="A910" s="65"/>
    </row>
    <row r="911" ht="14.25">
      <c r="A911" s="65"/>
    </row>
    <row r="912" ht="14.25">
      <c r="A912" s="65"/>
    </row>
    <row r="913" ht="14.25">
      <c r="A913" s="65"/>
    </row>
    <row r="914" ht="14.25">
      <c r="A914" s="65"/>
    </row>
    <row r="915" ht="14.25">
      <c r="A915" s="65"/>
    </row>
    <row r="916" ht="14.25">
      <c r="A916" s="65"/>
    </row>
    <row r="917" ht="14.25">
      <c r="A917" s="65"/>
    </row>
    <row r="918" ht="14.25">
      <c r="A918" s="65"/>
    </row>
    <row r="919" ht="14.25">
      <c r="A919" s="65"/>
    </row>
    <row r="920" ht="14.25">
      <c r="A920" s="65"/>
    </row>
    <row r="921" ht="14.25">
      <c r="A921" s="65"/>
    </row>
    <row r="922" ht="14.25">
      <c r="A922" s="65"/>
    </row>
    <row r="923" ht="14.25">
      <c r="A923" s="65"/>
    </row>
    <row r="924" ht="14.25">
      <c r="A924" s="65"/>
    </row>
    <row r="925" ht="14.25">
      <c r="A925" s="65"/>
    </row>
    <row r="926" ht="14.25">
      <c r="A926" s="65"/>
    </row>
    <row r="927" ht="14.25">
      <c r="A927" s="65"/>
    </row>
    <row r="928" ht="14.25">
      <c r="A928" s="65"/>
    </row>
    <row r="929" ht="14.25">
      <c r="A929" s="65"/>
    </row>
    <row r="930" ht="14.25">
      <c r="A930" s="65"/>
    </row>
    <row r="931" ht="14.25">
      <c r="A931" s="65"/>
    </row>
    <row r="932" ht="14.25">
      <c r="A932" s="65"/>
    </row>
    <row r="933" ht="14.25">
      <c r="A933" s="65"/>
    </row>
    <row r="934" ht="14.25">
      <c r="A934" s="65"/>
    </row>
    <row r="935" ht="14.25">
      <c r="A935" s="65"/>
    </row>
    <row r="936" ht="14.25">
      <c r="A936" s="65"/>
    </row>
    <row r="937" ht="14.25">
      <c r="A937" s="65"/>
    </row>
    <row r="938" ht="14.25">
      <c r="A938" s="65"/>
    </row>
    <row r="939" ht="14.25">
      <c r="A939" s="65"/>
    </row>
    <row r="940" ht="14.25">
      <c r="A940" s="65"/>
    </row>
    <row r="941" ht="14.25">
      <c r="A941" s="65"/>
    </row>
    <row r="942" ht="14.25">
      <c r="A942" s="65"/>
    </row>
    <row r="943" ht="14.25">
      <c r="A943" s="65"/>
    </row>
    <row r="944" ht="14.25">
      <c r="A944" s="65"/>
    </row>
    <row r="945" ht="14.25">
      <c r="A945" s="65"/>
    </row>
    <row r="946" ht="14.25">
      <c r="A946" s="65"/>
    </row>
    <row r="947" ht="14.25">
      <c r="A947" s="65"/>
    </row>
    <row r="948" ht="14.25">
      <c r="A948" s="65"/>
    </row>
    <row r="949" ht="14.25">
      <c r="A949" s="65"/>
    </row>
    <row r="950" ht="14.25">
      <c r="A950" s="65"/>
    </row>
    <row r="951" ht="14.25">
      <c r="A951" s="65"/>
    </row>
    <row r="952" ht="14.25">
      <c r="A952" s="65"/>
    </row>
    <row r="953" ht="14.25">
      <c r="A953" s="65"/>
    </row>
    <row r="954" ht="14.25">
      <c r="A954" s="65"/>
    </row>
    <row r="955" ht="14.25">
      <c r="A955" s="65"/>
    </row>
    <row r="956" ht="14.25">
      <c r="A956" s="65"/>
    </row>
    <row r="957" ht="14.25">
      <c r="A957" s="65"/>
    </row>
    <row r="958" ht="14.25">
      <c r="A958" s="65"/>
    </row>
    <row r="959" ht="14.25">
      <c r="A959" s="65"/>
    </row>
    <row r="960" ht="14.25">
      <c r="A960" s="65"/>
    </row>
    <row r="961" ht="14.25">
      <c r="A961" s="65"/>
    </row>
    <row r="962" ht="14.25">
      <c r="A962" s="65"/>
    </row>
    <row r="963" ht="14.25">
      <c r="A963" s="65"/>
    </row>
    <row r="964" ht="14.25">
      <c r="A964" s="65"/>
    </row>
    <row r="965" ht="14.25">
      <c r="A965" s="65"/>
    </row>
    <row r="966" ht="14.25">
      <c r="A966" s="65"/>
    </row>
    <row r="967" ht="14.25">
      <c r="A967" s="65"/>
    </row>
    <row r="968" ht="14.25">
      <c r="A968" s="65"/>
    </row>
    <row r="969" ht="14.25">
      <c r="A969" s="65"/>
    </row>
    <row r="970" ht="14.25">
      <c r="A970" s="65"/>
    </row>
    <row r="971" ht="14.25">
      <c r="A971" s="65"/>
    </row>
    <row r="972" ht="14.25">
      <c r="A972" s="65"/>
    </row>
    <row r="973" ht="14.25">
      <c r="A973" s="65"/>
    </row>
    <row r="974" ht="14.25">
      <c r="A974" s="65"/>
    </row>
    <row r="975" ht="14.25">
      <c r="A975" s="65"/>
    </row>
    <row r="976" ht="14.25">
      <c r="A976" s="65"/>
    </row>
    <row r="977" ht="14.25">
      <c r="A977" s="65"/>
    </row>
    <row r="978" ht="14.25">
      <c r="A978" s="65"/>
    </row>
    <row r="979" ht="14.25">
      <c r="A979" s="65"/>
    </row>
    <row r="980" ht="14.25">
      <c r="A980" s="65"/>
    </row>
    <row r="981" ht="14.25">
      <c r="A981" s="65"/>
    </row>
    <row r="982" ht="14.25">
      <c r="A982" s="65"/>
    </row>
    <row r="983" ht="14.25">
      <c r="A983" s="65"/>
    </row>
    <row r="984" ht="14.25">
      <c r="A984" s="65"/>
    </row>
    <row r="985" ht="14.25">
      <c r="A985" s="65"/>
    </row>
    <row r="986" ht="14.25">
      <c r="A986" s="65"/>
    </row>
    <row r="987" ht="14.25">
      <c r="A987" s="65"/>
    </row>
    <row r="988" ht="14.25">
      <c r="A988" s="65"/>
    </row>
    <row r="989" ht="14.25">
      <c r="A989" s="65"/>
    </row>
    <row r="990" ht="14.25">
      <c r="A990" s="65"/>
    </row>
    <row r="991" ht="14.25">
      <c r="A991" s="65"/>
    </row>
    <row r="992" ht="14.25">
      <c r="A992" s="65"/>
    </row>
    <row r="993" ht="14.25">
      <c r="A993" s="65"/>
    </row>
    <row r="994" ht="14.25">
      <c r="A994" s="65"/>
    </row>
    <row r="995" ht="14.25">
      <c r="A995" s="65"/>
    </row>
    <row r="996" ht="14.25">
      <c r="A996" s="65"/>
    </row>
    <row r="997" ht="14.25">
      <c r="A997" s="65"/>
    </row>
    <row r="998" ht="14.25">
      <c r="A998" s="65"/>
    </row>
    <row r="999" ht="14.25">
      <c r="A999" s="65"/>
    </row>
    <row r="1000" ht="14.25">
      <c r="A1000" s="65"/>
    </row>
    <row r="1001" ht="14.25">
      <c r="A1001" s="65"/>
    </row>
    <row r="1002" ht="14.25">
      <c r="A1002" s="65"/>
    </row>
    <row r="1003" ht="14.25">
      <c r="A1003" s="65"/>
    </row>
    <row r="1004" ht="14.25">
      <c r="A1004" s="65"/>
    </row>
    <row r="1005" ht="14.25">
      <c r="A1005" s="65"/>
    </row>
    <row r="1006" ht="14.25">
      <c r="A1006" s="65"/>
    </row>
    <row r="1007" ht="14.25">
      <c r="A1007" s="65"/>
    </row>
    <row r="1008" ht="14.25">
      <c r="A1008" s="65"/>
    </row>
    <row r="1009" ht="14.25">
      <c r="A1009" s="65"/>
    </row>
    <row r="1010" ht="14.25">
      <c r="A1010" s="65"/>
    </row>
    <row r="1011" ht="14.25">
      <c r="A1011" s="65"/>
    </row>
    <row r="1012" ht="14.25">
      <c r="A1012" s="65"/>
    </row>
    <row r="1013" ht="14.25">
      <c r="A1013" s="65"/>
    </row>
    <row r="1014" ht="14.25">
      <c r="A1014" s="65"/>
    </row>
    <row r="1015" ht="14.25">
      <c r="A1015" s="65"/>
    </row>
    <row r="1016" ht="14.25">
      <c r="A1016" s="65"/>
    </row>
    <row r="1017" ht="14.25">
      <c r="A1017" s="65"/>
    </row>
    <row r="1018" ht="14.25">
      <c r="A1018" s="65"/>
    </row>
    <row r="1019" ht="14.25">
      <c r="A1019" s="65"/>
    </row>
    <row r="1020" ht="14.25">
      <c r="A1020" s="65"/>
    </row>
    <row r="1021" ht="14.25">
      <c r="A1021" s="65"/>
    </row>
    <row r="1022" ht="14.25">
      <c r="A1022" s="65"/>
    </row>
    <row r="1023" ht="14.25">
      <c r="A1023" s="65"/>
    </row>
    <row r="1024" ht="14.25">
      <c r="A1024" s="65"/>
    </row>
    <row r="1025" ht="14.25">
      <c r="A1025" s="65"/>
    </row>
    <row r="1026" ht="14.25">
      <c r="A1026" s="65"/>
    </row>
    <row r="1027" ht="14.25">
      <c r="A1027" s="65"/>
    </row>
    <row r="1028" ht="14.25">
      <c r="A1028" s="65"/>
    </row>
    <row r="1029" ht="14.25">
      <c r="A1029" s="65"/>
    </row>
    <row r="1030" ht="14.25">
      <c r="A1030" s="65"/>
    </row>
    <row r="1031" ht="14.25">
      <c r="A1031" s="65"/>
    </row>
    <row r="1032" ht="14.25">
      <c r="A1032" s="65"/>
    </row>
    <row r="1033" ht="14.25">
      <c r="A1033" s="65"/>
    </row>
    <row r="1034" ht="14.25">
      <c r="A1034" s="65"/>
    </row>
    <row r="1035" ht="14.25">
      <c r="A1035" s="65"/>
    </row>
    <row r="1036" ht="14.25">
      <c r="A1036" s="65"/>
    </row>
    <row r="1037" ht="14.25">
      <c r="A1037" s="65"/>
    </row>
    <row r="1038" ht="14.25">
      <c r="A1038" s="65"/>
    </row>
    <row r="1039" ht="14.25">
      <c r="A1039" s="65"/>
    </row>
    <row r="1040" ht="14.25">
      <c r="A1040" s="65"/>
    </row>
    <row r="1041" ht="14.25">
      <c r="A1041" s="65"/>
    </row>
    <row r="1042" ht="14.25">
      <c r="A1042" s="65"/>
    </row>
    <row r="1043" ht="14.25">
      <c r="A1043" s="65"/>
    </row>
    <row r="1044" ht="14.25">
      <c r="A1044" s="65"/>
    </row>
    <row r="1045" ht="14.25">
      <c r="A1045" s="65"/>
    </row>
    <row r="1046" ht="14.25">
      <c r="A1046" s="65"/>
    </row>
    <row r="1047" ht="14.25">
      <c r="A1047" s="65"/>
    </row>
    <row r="1048" ht="14.25">
      <c r="A1048" s="65"/>
    </row>
    <row r="1049" ht="14.25">
      <c r="A1049" s="65"/>
    </row>
    <row r="1050" ht="14.25">
      <c r="A1050" s="65"/>
    </row>
    <row r="1051" ht="14.25">
      <c r="A1051" s="65"/>
    </row>
    <row r="1052" ht="14.25">
      <c r="A1052" s="65"/>
    </row>
    <row r="1053" ht="14.25">
      <c r="A1053" s="65"/>
    </row>
    <row r="1054" ht="14.25">
      <c r="A1054" s="65"/>
    </row>
    <row r="1055" ht="14.25">
      <c r="A1055" s="65"/>
    </row>
    <row r="1056" ht="14.25">
      <c r="A1056" s="65"/>
    </row>
    <row r="1057" ht="14.25">
      <c r="A1057" s="65"/>
    </row>
    <row r="1058" ht="14.25">
      <c r="A1058" s="65"/>
    </row>
    <row r="1059" ht="14.25">
      <c r="A1059" s="65"/>
    </row>
    <row r="1060" ht="14.25">
      <c r="A1060" s="65"/>
    </row>
    <row r="1061" ht="14.25">
      <c r="A1061" s="65"/>
    </row>
    <row r="1062" ht="14.25">
      <c r="A1062" s="65"/>
    </row>
    <row r="1063" ht="14.25">
      <c r="A1063" s="65"/>
    </row>
    <row r="1064" ht="14.25">
      <c r="A1064" s="65"/>
    </row>
    <row r="1065" ht="14.25">
      <c r="A1065" s="65"/>
    </row>
    <row r="1066" ht="14.25">
      <c r="A1066" s="65"/>
    </row>
    <row r="1067" ht="14.25">
      <c r="A1067" s="65"/>
    </row>
    <row r="1068" ht="14.25">
      <c r="A1068" s="65"/>
    </row>
    <row r="1069" ht="14.25">
      <c r="A1069" s="65"/>
    </row>
    <row r="1070" ht="14.25">
      <c r="A1070" s="65"/>
    </row>
    <row r="1071" ht="14.25">
      <c r="A1071" s="65"/>
    </row>
    <row r="1072" ht="14.25">
      <c r="A1072" s="65"/>
    </row>
    <row r="1073" ht="14.25">
      <c r="A1073" s="65"/>
    </row>
    <row r="1074" ht="14.25">
      <c r="A1074" s="65"/>
    </row>
    <row r="1075" ht="14.25">
      <c r="A1075" s="65"/>
    </row>
    <row r="1076" ht="14.25">
      <c r="A1076" s="65"/>
    </row>
    <row r="1077" ht="14.25">
      <c r="A1077" s="65"/>
    </row>
    <row r="1078" ht="14.25">
      <c r="A1078" s="65"/>
    </row>
    <row r="1079" ht="14.25">
      <c r="A1079" s="65"/>
    </row>
    <row r="1080" ht="14.25">
      <c r="A1080" s="65"/>
    </row>
    <row r="1081" ht="14.25">
      <c r="A1081" s="65"/>
    </row>
    <row r="1082" ht="14.25">
      <c r="A1082" s="65"/>
    </row>
    <row r="1083" ht="14.25">
      <c r="A1083" s="65"/>
    </row>
    <row r="1084" ht="14.25">
      <c r="A1084" s="65"/>
    </row>
    <row r="1085" ht="14.25">
      <c r="A1085" s="65"/>
    </row>
    <row r="1086" ht="14.25">
      <c r="A1086" s="65"/>
    </row>
    <row r="1087" ht="14.25">
      <c r="A1087" s="65"/>
    </row>
    <row r="1088" ht="14.25">
      <c r="A1088" s="65"/>
    </row>
    <row r="1089" ht="14.25">
      <c r="A1089" s="65"/>
    </row>
    <row r="1090" ht="14.25">
      <c r="A1090" s="65"/>
    </row>
    <row r="1091" ht="14.25">
      <c r="A1091" s="65"/>
    </row>
    <row r="1092" ht="14.25">
      <c r="A1092" s="65"/>
    </row>
    <row r="1093" ht="14.25">
      <c r="A1093" s="65"/>
    </row>
    <row r="1094" ht="14.25">
      <c r="A1094" s="65"/>
    </row>
    <row r="1095" ht="14.25">
      <c r="A1095" s="65"/>
    </row>
    <row r="1096" ht="14.25">
      <c r="A1096" s="65"/>
    </row>
    <row r="1097" ht="14.25">
      <c r="A1097" s="65"/>
    </row>
    <row r="1098" ht="14.25">
      <c r="A1098" s="65"/>
    </row>
    <row r="1099" ht="14.25">
      <c r="A1099" s="65"/>
    </row>
    <row r="1100" ht="14.25">
      <c r="A1100" s="65"/>
    </row>
    <row r="1101" ht="14.25">
      <c r="A1101" s="65"/>
    </row>
    <row r="1102" ht="14.25">
      <c r="A1102" s="65"/>
    </row>
    <row r="1103" ht="14.25">
      <c r="A1103" s="65"/>
    </row>
    <row r="1104" ht="14.25">
      <c r="A1104" s="65"/>
    </row>
    <row r="1105" ht="14.25">
      <c r="A1105" s="65"/>
    </row>
    <row r="1106" ht="14.25">
      <c r="A1106" s="65"/>
    </row>
    <row r="1107" ht="14.25">
      <c r="A1107" s="65"/>
    </row>
    <row r="1108" ht="14.25">
      <c r="A1108" s="65"/>
    </row>
    <row r="1109" ht="14.25">
      <c r="A1109" s="65"/>
    </row>
    <row r="1110" ht="14.25">
      <c r="A1110" s="65"/>
    </row>
    <row r="1111" ht="14.25">
      <c r="A1111" s="65"/>
    </row>
    <row r="1112" ht="14.25">
      <c r="A1112" s="65"/>
    </row>
    <row r="1113" ht="14.25">
      <c r="A1113" s="65"/>
    </row>
    <row r="1114" ht="14.25">
      <c r="A1114" s="65"/>
    </row>
    <row r="1115" ht="14.25">
      <c r="A1115" s="65"/>
    </row>
    <row r="1116" ht="14.25">
      <c r="A1116" s="65"/>
    </row>
    <row r="1117" ht="14.25">
      <c r="A1117" s="65"/>
    </row>
    <row r="1118" ht="14.25">
      <c r="A1118" s="65"/>
    </row>
    <row r="1119" ht="14.25">
      <c r="A1119" s="65"/>
    </row>
    <row r="1120" ht="14.25">
      <c r="A1120" s="65"/>
    </row>
    <row r="1121" ht="14.25">
      <c r="A1121" s="65"/>
    </row>
    <row r="1122" ht="14.25">
      <c r="A1122" s="65"/>
    </row>
    <row r="1123" ht="14.25">
      <c r="A1123" s="65"/>
    </row>
    <row r="1124" ht="14.25">
      <c r="A1124" s="65"/>
    </row>
    <row r="1125" ht="14.25">
      <c r="A1125" s="65"/>
    </row>
    <row r="1126" ht="14.25">
      <c r="A1126" s="65"/>
    </row>
    <row r="1127" ht="14.25">
      <c r="A1127" s="65"/>
    </row>
    <row r="1128" ht="14.25">
      <c r="A1128" s="65"/>
    </row>
    <row r="1129" ht="14.25">
      <c r="A1129" s="65"/>
    </row>
    <row r="1130" ht="14.25">
      <c r="A1130" s="65"/>
    </row>
    <row r="1131" ht="14.25">
      <c r="A1131" s="65"/>
    </row>
    <row r="1132" ht="14.25">
      <c r="A1132" s="65"/>
    </row>
    <row r="1133" ht="14.25">
      <c r="A1133" s="65"/>
    </row>
    <row r="1134" ht="14.25">
      <c r="A1134" s="65"/>
    </row>
    <row r="1135" ht="14.25">
      <c r="A1135" s="65"/>
    </row>
    <row r="1136" ht="14.25">
      <c r="A1136" s="65"/>
    </row>
    <row r="1137" ht="14.25">
      <c r="A1137" s="65"/>
    </row>
    <row r="1138" ht="14.25">
      <c r="A1138" s="65"/>
    </row>
    <row r="1139" ht="14.25">
      <c r="A1139" s="65"/>
    </row>
    <row r="1140" ht="14.25">
      <c r="A1140" s="65"/>
    </row>
    <row r="1141" ht="14.25">
      <c r="A1141" s="65"/>
    </row>
    <row r="1142" ht="14.25">
      <c r="A1142" s="65"/>
    </row>
    <row r="1143" ht="14.25">
      <c r="A1143" s="65"/>
    </row>
    <row r="1144" ht="14.25">
      <c r="A1144" s="65"/>
    </row>
    <row r="1145" ht="14.25">
      <c r="A1145" s="65"/>
    </row>
    <row r="1146" ht="14.25">
      <c r="A1146" s="65"/>
    </row>
    <row r="1147" ht="14.25">
      <c r="A1147" s="65"/>
    </row>
    <row r="1148" ht="14.25">
      <c r="A1148" s="65"/>
    </row>
    <row r="1149" ht="14.25">
      <c r="A1149" s="65"/>
    </row>
    <row r="1150" ht="14.25">
      <c r="A1150" s="65"/>
    </row>
    <row r="1151" ht="14.25">
      <c r="A1151" s="65"/>
    </row>
    <row r="1152" ht="14.25">
      <c r="A1152" s="65"/>
    </row>
    <row r="1153" ht="14.25">
      <c r="A1153" s="65"/>
    </row>
    <row r="1154" ht="14.25">
      <c r="A1154" s="65"/>
    </row>
    <row r="1155" ht="14.25">
      <c r="A1155" s="65"/>
    </row>
    <row r="1156" ht="14.25">
      <c r="A1156" s="65"/>
    </row>
    <row r="1157" ht="14.25">
      <c r="A1157" s="65"/>
    </row>
    <row r="1158" ht="14.25">
      <c r="A1158" s="65"/>
    </row>
    <row r="1159" ht="14.25">
      <c r="A1159" s="65"/>
    </row>
    <row r="1160" ht="14.25">
      <c r="A1160" s="65"/>
    </row>
    <row r="1161" ht="14.25">
      <c r="A1161" s="65"/>
    </row>
    <row r="1162" ht="14.25">
      <c r="A1162" s="65"/>
    </row>
    <row r="1163" ht="14.25">
      <c r="A1163" s="65"/>
    </row>
    <row r="1164" ht="14.25">
      <c r="A1164" s="65"/>
    </row>
    <row r="1165" ht="14.25">
      <c r="A1165" s="65"/>
    </row>
    <row r="1166" ht="14.25">
      <c r="A1166" s="65"/>
    </row>
    <row r="1167" ht="14.25">
      <c r="A1167" s="65"/>
    </row>
    <row r="1168" ht="14.25">
      <c r="A1168" s="65"/>
    </row>
    <row r="1169" ht="14.25">
      <c r="A1169" s="65"/>
    </row>
    <row r="1170" ht="14.25">
      <c r="A1170" s="65"/>
    </row>
    <row r="1171" ht="14.25">
      <c r="A1171" s="65"/>
    </row>
    <row r="1172" ht="14.25">
      <c r="A1172" s="65"/>
    </row>
    <row r="1173" ht="14.25">
      <c r="A1173" s="65"/>
    </row>
    <row r="1174" ht="14.25">
      <c r="A1174" s="65"/>
    </row>
    <row r="1175" ht="14.25">
      <c r="A1175" s="65"/>
    </row>
    <row r="1176" ht="14.25">
      <c r="A1176" s="65"/>
    </row>
    <row r="1177" ht="14.25">
      <c r="A1177" s="65"/>
    </row>
    <row r="1178" ht="14.25">
      <c r="A1178" s="65"/>
    </row>
    <row r="1179" ht="14.25">
      <c r="A1179" s="65"/>
    </row>
    <row r="1180" ht="14.25">
      <c r="A1180" s="65"/>
    </row>
    <row r="1181" ht="14.25">
      <c r="A1181" s="65"/>
    </row>
    <row r="1182" ht="14.25">
      <c r="A1182" s="65"/>
    </row>
    <row r="1183" ht="14.25">
      <c r="A1183" s="65"/>
    </row>
    <row r="1184" ht="14.25">
      <c r="A1184" s="65"/>
    </row>
    <row r="1185" ht="14.25">
      <c r="A1185" s="65"/>
    </row>
    <row r="1186" ht="14.25">
      <c r="A1186" s="65"/>
    </row>
    <row r="1187" ht="14.25">
      <c r="A1187" s="65"/>
    </row>
    <row r="1188" ht="14.25">
      <c r="A1188" s="65"/>
    </row>
    <row r="1189" ht="14.25">
      <c r="A1189" s="65"/>
    </row>
    <row r="1190" ht="14.25">
      <c r="A1190" s="65"/>
    </row>
    <row r="1191" ht="14.25">
      <c r="A1191" s="65"/>
    </row>
    <row r="1192" ht="14.25">
      <c r="A1192" s="65"/>
    </row>
    <row r="1193" ht="14.25">
      <c r="A1193" s="65"/>
    </row>
    <row r="1194" ht="14.25">
      <c r="A1194" s="65"/>
    </row>
    <row r="1195" ht="14.25">
      <c r="A1195" s="65"/>
    </row>
    <row r="1196" ht="14.25">
      <c r="A1196" s="65"/>
    </row>
    <row r="1197" ht="14.25">
      <c r="A1197" s="65"/>
    </row>
    <row r="1198" ht="14.25">
      <c r="A1198" s="65"/>
    </row>
    <row r="1199" ht="14.25">
      <c r="A1199" s="65"/>
    </row>
    <row r="1200" ht="14.25">
      <c r="A1200" s="65"/>
    </row>
    <row r="1201" ht="14.25">
      <c r="A1201" s="65"/>
    </row>
    <row r="1202" ht="14.25">
      <c r="A1202" s="65"/>
    </row>
    <row r="1203" ht="14.25">
      <c r="A1203" s="65"/>
    </row>
    <row r="1204" ht="14.25">
      <c r="A1204" s="65"/>
    </row>
    <row r="1205" ht="14.25">
      <c r="A1205" s="65"/>
    </row>
    <row r="1206" ht="14.25">
      <c r="A1206" s="65"/>
    </row>
    <row r="1207" ht="14.25">
      <c r="A1207" s="65"/>
    </row>
    <row r="1208" ht="14.25">
      <c r="A1208" s="65"/>
    </row>
    <row r="1209" ht="14.25">
      <c r="A1209" s="65"/>
    </row>
    <row r="1210" ht="14.25">
      <c r="A1210" s="65"/>
    </row>
    <row r="1211" ht="14.25">
      <c r="A1211" s="65"/>
    </row>
    <row r="1212" ht="14.25">
      <c r="A1212" s="65"/>
    </row>
    <row r="1213" ht="14.25">
      <c r="A1213" s="65"/>
    </row>
    <row r="1214" ht="14.25">
      <c r="A1214" s="65"/>
    </row>
    <row r="1215" ht="14.25">
      <c r="A1215" s="65"/>
    </row>
    <row r="1216" ht="14.25">
      <c r="A1216" s="65"/>
    </row>
    <row r="1217" ht="14.25">
      <c r="A1217" s="65"/>
    </row>
    <row r="1218" ht="14.25">
      <c r="A1218" s="65"/>
    </row>
    <row r="1219" ht="14.25">
      <c r="A1219" s="65"/>
    </row>
    <row r="1220" ht="14.25">
      <c r="A1220" s="65"/>
    </row>
    <row r="1221" ht="14.25">
      <c r="A1221" s="65"/>
    </row>
    <row r="1222" ht="14.25">
      <c r="A1222" s="65"/>
    </row>
    <row r="1223" ht="14.25">
      <c r="A1223" s="65"/>
    </row>
    <row r="1224" ht="14.25">
      <c r="A1224" s="65"/>
    </row>
    <row r="1225" ht="14.25">
      <c r="A1225" s="65"/>
    </row>
    <row r="1226" ht="14.25">
      <c r="A1226" s="65"/>
    </row>
    <row r="1227" ht="14.25">
      <c r="A1227" s="65"/>
    </row>
    <row r="1228" ht="14.25">
      <c r="A1228" s="65"/>
    </row>
    <row r="1229" ht="14.25">
      <c r="A1229" s="65"/>
    </row>
    <row r="1230" ht="14.25">
      <c r="A1230" s="65"/>
    </row>
    <row r="1231" ht="14.25">
      <c r="A1231" s="65"/>
    </row>
    <row r="1232" ht="14.25">
      <c r="A1232" s="65"/>
    </row>
    <row r="1233" ht="14.25">
      <c r="A1233" s="65"/>
    </row>
    <row r="1234" ht="14.25">
      <c r="A1234" s="65"/>
    </row>
    <row r="1235" ht="14.25">
      <c r="A1235" s="65"/>
    </row>
    <row r="1236" ht="14.25">
      <c r="A1236" s="65"/>
    </row>
    <row r="1237" ht="14.25">
      <c r="A1237" s="65"/>
    </row>
    <row r="1238" ht="14.25">
      <c r="A1238" s="65"/>
    </row>
    <row r="1239" ht="14.25">
      <c r="A1239" s="65"/>
    </row>
    <row r="1240" ht="14.25">
      <c r="A1240" s="65"/>
    </row>
    <row r="1241" ht="14.25">
      <c r="A1241" s="65"/>
    </row>
    <row r="1242" ht="14.25">
      <c r="A1242" s="65"/>
    </row>
    <row r="1243" ht="14.25">
      <c r="A1243" s="65"/>
    </row>
    <row r="1244" ht="14.25">
      <c r="A1244" s="65"/>
    </row>
    <row r="1245" ht="14.25">
      <c r="A1245" s="65"/>
    </row>
    <row r="1246" ht="14.25">
      <c r="A1246" s="65"/>
    </row>
    <row r="1247" ht="14.25">
      <c r="A1247" s="65"/>
    </row>
    <row r="1248" ht="14.25">
      <c r="A1248" s="65"/>
    </row>
    <row r="1249" ht="14.25">
      <c r="A1249" s="65"/>
    </row>
    <row r="1250" ht="14.25">
      <c r="A1250" s="65"/>
    </row>
    <row r="1251" ht="14.25">
      <c r="A1251" s="65"/>
    </row>
    <row r="1252" ht="14.25">
      <c r="A1252" s="65"/>
    </row>
    <row r="1253" ht="14.25">
      <c r="A1253" s="65"/>
    </row>
    <row r="1254" ht="14.25">
      <c r="A1254" s="65"/>
    </row>
    <row r="1255" ht="14.25">
      <c r="A1255" s="65"/>
    </row>
    <row r="1256" ht="14.25">
      <c r="A1256" s="65"/>
    </row>
    <row r="1257" ht="14.25">
      <c r="A1257" s="65"/>
    </row>
    <row r="1258" ht="14.25">
      <c r="A1258" s="65"/>
    </row>
    <row r="1259" ht="14.25">
      <c r="A1259" s="65"/>
    </row>
    <row r="1260" ht="14.25">
      <c r="A1260" s="65"/>
    </row>
    <row r="1261" ht="14.25">
      <c r="A1261" s="65"/>
    </row>
    <row r="1262" ht="14.25">
      <c r="A1262" s="65"/>
    </row>
    <row r="1263" ht="14.25">
      <c r="A1263" s="65"/>
    </row>
    <row r="1264" ht="14.25">
      <c r="A1264" s="65"/>
    </row>
    <row r="1265" ht="14.25">
      <c r="A1265" s="65"/>
    </row>
    <row r="1266" ht="14.25">
      <c r="A1266" s="65"/>
    </row>
    <row r="1267" ht="14.25">
      <c r="A1267" s="65"/>
    </row>
    <row r="1268" ht="14.25">
      <c r="A1268" s="65"/>
    </row>
    <row r="1269" ht="14.25">
      <c r="A1269" s="65"/>
    </row>
    <row r="1270" ht="14.25">
      <c r="A1270" s="65"/>
    </row>
    <row r="1271" ht="14.25">
      <c r="A1271" s="65"/>
    </row>
    <row r="1272" ht="14.25">
      <c r="A1272" s="65"/>
    </row>
    <row r="1273" ht="14.25">
      <c r="A1273" s="65"/>
    </row>
    <row r="1274" ht="14.25">
      <c r="A1274" s="65"/>
    </row>
    <row r="1275" ht="14.25">
      <c r="A1275" s="65"/>
    </row>
    <row r="1276" ht="14.25">
      <c r="A1276" s="65"/>
    </row>
    <row r="1277" ht="14.25">
      <c r="A1277" s="65"/>
    </row>
    <row r="1278" ht="14.25">
      <c r="A1278" s="65"/>
    </row>
    <row r="1279" ht="14.25">
      <c r="A1279" s="65"/>
    </row>
    <row r="1280" ht="14.25">
      <c r="A1280" s="65"/>
    </row>
    <row r="1281" ht="14.25">
      <c r="A1281" s="65"/>
    </row>
    <row r="1282" ht="14.25">
      <c r="A1282" s="65"/>
    </row>
    <row r="1283" ht="14.25">
      <c r="A1283" s="65"/>
    </row>
    <row r="1284" ht="14.25">
      <c r="A1284" s="65"/>
    </row>
    <row r="1285" ht="14.25">
      <c r="A1285" s="65"/>
    </row>
    <row r="1286" ht="14.25">
      <c r="A1286" s="65"/>
    </row>
    <row r="1287" ht="14.25">
      <c r="A1287" s="65"/>
    </row>
    <row r="1288" ht="14.25">
      <c r="A1288" s="65"/>
    </row>
    <row r="1289" ht="14.25">
      <c r="A1289" s="65"/>
    </row>
    <row r="1290" ht="14.25">
      <c r="A1290" s="65"/>
    </row>
    <row r="1291" ht="14.25">
      <c r="A1291" s="65"/>
    </row>
    <row r="1292" ht="14.25">
      <c r="A1292" s="65"/>
    </row>
    <row r="1293" ht="14.25">
      <c r="A1293" s="65"/>
    </row>
    <row r="1294" ht="14.25">
      <c r="A1294" s="65"/>
    </row>
    <row r="1295" ht="14.25">
      <c r="A1295" s="65"/>
    </row>
    <row r="1296" ht="14.25">
      <c r="A1296" s="65"/>
    </row>
    <row r="1297" ht="14.25">
      <c r="A1297" s="65"/>
    </row>
    <row r="1298" ht="14.25">
      <c r="A1298" s="65"/>
    </row>
    <row r="1299" ht="14.25">
      <c r="A1299" s="65"/>
    </row>
    <row r="1300" ht="14.25">
      <c r="A1300" s="65"/>
    </row>
    <row r="1301" ht="14.25">
      <c r="A1301" s="65"/>
    </row>
    <row r="1302" ht="14.25">
      <c r="A1302" s="65"/>
    </row>
    <row r="1303" ht="14.25">
      <c r="A1303" s="65"/>
    </row>
    <row r="1304" ht="14.25">
      <c r="A1304" s="65"/>
    </row>
    <row r="1305" ht="14.25">
      <c r="A1305" s="65"/>
    </row>
    <row r="1306" ht="14.25">
      <c r="A1306" s="65"/>
    </row>
    <row r="1307" ht="14.25">
      <c r="A1307" s="65"/>
    </row>
    <row r="1308" ht="14.25">
      <c r="A1308" s="65"/>
    </row>
    <row r="1309" ht="14.25">
      <c r="A1309" s="65"/>
    </row>
    <row r="1310" ht="14.25">
      <c r="A1310" s="65"/>
    </row>
    <row r="1311" ht="14.25">
      <c r="A1311" s="65"/>
    </row>
    <row r="1312" ht="14.25">
      <c r="A1312" s="65"/>
    </row>
    <row r="1313" ht="14.25">
      <c r="A1313" s="65"/>
    </row>
    <row r="1314" ht="14.25">
      <c r="A1314" s="65"/>
    </row>
    <row r="1315" ht="14.25">
      <c r="A1315" s="65"/>
    </row>
    <row r="1316" ht="14.25">
      <c r="A1316" s="65"/>
    </row>
    <row r="1317" ht="14.25">
      <c r="A1317" s="65"/>
    </row>
    <row r="1318" ht="14.25">
      <c r="A1318" s="65"/>
    </row>
    <row r="1319" ht="14.25">
      <c r="A1319" s="65"/>
    </row>
    <row r="1320" ht="14.25">
      <c r="A1320" s="65"/>
    </row>
    <row r="1321" ht="14.25">
      <c r="A1321" s="65"/>
    </row>
    <row r="1322" ht="14.25">
      <c r="A1322" s="65"/>
    </row>
    <row r="1323" ht="14.25">
      <c r="A1323" s="65"/>
    </row>
    <row r="1324" ht="14.25">
      <c r="A1324" s="65"/>
    </row>
    <row r="1325" ht="14.25">
      <c r="A1325" s="65"/>
    </row>
    <row r="1326" ht="14.25">
      <c r="A1326" s="65"/>
    </row>
    <row r="1327" ht="14.25">
      <c r="A1327" s="65"/>
    </row>
    <row r="1328" ht="14.25">
      <c r="A1328" s="65"/>
    </row>
    <row r="1329" ht="14.25">
      <c r="A1329" s="65"/>
    </row>
    <row r="1330" ht="14.25">
      <c r="A1330" s="65"/>
    </row>
    <row r="1331" ht="14.25">
      <c r="A1331" s="65"/>
    </row>
    <row r="1332" ht="14.25">
      <c r="A1332" s="65"/>
    </row>
    <row r="1333" ht="14.25">
      <c r="A1333" s="65"/>
    </row>
    <row r="1334" ht="14.25">
      <c r="A1334" s="65"/>
    </row>
    <row r="1335" ht="14.25">
      <c r="A1335" s="65"/>
    </row>
    <row r="1336" ht="14.25">
      <c r="A1336" s="65"/>
    </row>
    <row r="1337" ht="14.25">
      <c r="A1337" s="65"/>
    </row>
    <row r="1338" ht="14.25">
      <c r="A1338" s="65"/>
    </row>
    <row r="1339" ht="14.25">
      <c r="A1339" s="65"/>
    </row>
    <row r="1340" ht="14.25">
      <c r="A1340" s="65"/>
    </row>
    <row r="1341" ht="14.25">
      <c r="A1341" s="65"/>
    </row>
    <row r="1342" ht="14.25">
      <c r="A1342" s="65"/>
    </row>
    <row r="1343" ht="14.25">
      <c r="A1343" s="65"/>
    </row>
    <row r="1344" ht="14.25">
      <c r="A1344" s="65"/>
    </row>
    <row r="1345" ht="14.25">
      <c r="A1345" s="65"/>
    </row>
    <row r="1346" ht="14.25">
      <c r="A1346" s="65"/>
    </row>
    <row r="1347" ht="14.25">
      <c r="A1347" s="65"/>
    </row>
    <row r="1348" ht="14.25">
      <c r="A1348" s="65"/>
    </row>
    <row r="1349" ht="14.25">
      <c r="A1349" s="65"/>
    </row>
    <row r="1350" ht="14.25">
      <c r="A1350" s="65"/>
    </row>
    <row r="1351" ht="14.25">
      <c r="A1351" s="65"/>
    </row>
    <row r="1352" ht="14.25">
      <c r="A1352" s="65"/>
    </row>
    <row r="1353" ht="14.25">
      <c r="A1353" s="65"/>
    </row>
    <row r="1354" ht="14.25">
      <c r="A1354" s="65"/>
    </row>
    <row r="1355" ht="14.25">
      <c r="A1355" s="65"/>
    </row>
    <row r="1356" ht="14.25">
      <c r="A1356" s="65"/>
    </row>
    <row r="1357" ht="14.25">
      <c r="A1357" s="65"/>
    </row>
    <row r="1358" ht="14.25">
      <c r="A1358" s="65"/>
    </row>
    <row r="1359" ht="14.25">
      <c r="A1359" s="65"/>
    </row>
    <row r="1360" ht="14.25">
      <c r="A1360" s="65"/>
    </row>
    <row r="1361" ht="14.25">
      <c r="A1361" s="65"/>
    </row>
    <row r="1362" ht="14.25">
      <c r="A1362" s="65"/>
    </row>
    <row r="1363" ht="14.25">
      <c r="A1363" s="65"/>
    </row>
    <row r="1364" ht="14.25">
      <c r="A1364" s="65"/>
    </row>
    <row r="1365" ht="14.25">
      <c r="A1365" s="65"/>
    </row>
    <row r="1366" ht="14.25">
      <c r="A1366" s="65"/>
    </row>
    <row r="1367" ht="14.25">
      <c r="A1367" s="65"/>
    </row>
    <row r="1368" ht="14.25">
      <c r="A1368" s="65"/>
    </row>
    <row r="1369" ht="14.25">
      <c r="A1369" s="65"/>
    </row>
    <row r="1370" ht="14.25">
      <c r="A1370" s="65"/>
    </row>
    <row r="1371" ht="14.25">
      <c r="A1371" s="65"/>
    </row>
    <row r="1372" ht="14.25">
      <c r="A1372" s="65"/>
    </row>
    <row r="1373" ht="14.25">
      <c r="A1373" s="65"/>
    </row>
    <row r="1374" ht="14.25">
      <c r="A1374" s="65"/>
    </row>
    <row r="1375" ht="14.25">
      <c r="A1375" s="65"/>
    </row>
    <row r="1376" ht="14.25">
      <c r="A1376" s="65"/>
    </row>
    <row r="1377" ht="14.25">
      <c r="A1377" s="65"/>
    </row>
    <row r="1378" ht="14.25">
      <c r="A1378" s="65"/>
    </row>
    <row r="1379" ht="14.25">
      <c r="A1379" s="65"/>
    </row>
    <row r="1380" ht="14.25">
      <c r="A1380" s="65"/>
    </row>
    <row r="1381" ht="14.25">
      <c r="A1381" s="65"/>
    </row>
    <row r="1382" ht="14.25">
      <c r="A1382" s="65"/>
    </row>
    <row r="1383" ht="14.25">
      <c r="A1383" s="65"/>
    </row>
    <row r="1384" ht="14.25">
      <c r="A1384" s="65"/>
    </row>
    <row r="1385" ht="14.25">
      <c r="A1385" s="65"/>
    </row>
    <row r="1386" ht="14.25">
      <c r="A1386" s="65"/>
    </row>
    <row r="1387" ht="14.25">
      <c r="A1387" s="65"/>
    </row>
    <row r="1388" ht="14.25">
      <c r="A1388" s="65"/>
    </row>
    <row r="1389" ht="14.25">
      <c r="A1389" s="65"/>
    </row>
    <row r="1390" ht="14.25">
      <c r="A1390" s="65"/>
    </row>
    <row r="1391" ht="14.25">
      <c r="A1391" s="65"/>
    </row>
    <row r="1392" ht="14.25">
      <c r="A1392" s="65"/>
    </row>
    <row r="1393" ht="14.25">
      <c r="A1393" s="65"/>
    </row>
    <row r="1394" ht="14.25">
      <c r="A1394" s="65"/>
    </row>
    <row r="1395" ht="14.25">
      <c r="A1395" s="65"/>
    </row>
    <row r="1396" ht="14.25">
      <c r="A1396" s="65"/>
    </row>
    <row r="1397" ht="14.25">
      <c r="A1397" s="65"/>
    </row>
    <row r="1398" ht="14.25">
      <c r="A1398" s="65"/>
    </row>
    <row r="1399" ht="14.25">
      <c r="A1399" s="65"/>
    </row>
    <row r="1400" ht="14.25">
      <c r="A1400" s="65"/>
    </row>
    <row r="1401" ht="14.25">
      <c r="A1401" s="65"/>
    </row>
    <row r="1402" ht="14.25">
      <c r="A1402" s="65"/>
    </row>
    <row r="1403" ht="14.25">
      <c r="A1403" s="65"/>
    </row>
    <row r="1404" ht="14.25">
      <c r="A1404" s="65"/>
    </row>
    <row r="1405" ht="14.25">
      <c r="A1405" s="65"/>
    </row>
    <row r="1406" ht="14.25">
      <c r="A1406" s="65"/>
    </row>
    <row r="1407" ht="14.25">
      <c r="A1407" s="65"/>
    </row>
    <row r="1408" ht="14.25">
      <c r="A1408" s="65"/>
    </row>
    <row r="1409" ht="14.25">
      <c r="A1409" s="65"/>
    </row>
    <row r="1410" ht="14.25">
      <c r="A1410" s="65"/>
    </row>
    <row r="1411" ht="14.25">
      <c r="A1411" s="65"/>
    </row>
    <row r="1412" ht="14.25">
      <c r="A1412" s="65"/>
    </row>
    <row r="1413" ht="14.25">
      <c r="A1413" s="65"/>
    </row>
    <row r="1414" ht="14.25">
      <c r="A1414" s="65"/>
    </row>
    <row r="1415" ht="14.25">
      <c r="A1415" s="65"/>
    </row>
    <row r="1416" ht="14.25">
      <c r="A1416" s="65"/>
    </row>
    <row r="1417" ht="14.25">
      <c r="A1417" s="65"/>
    </row>
    <row r="1418" ht="14.25">
      <c r="A1418" s="65"/>
    </row>
    <row r="1419" ht="14.25">
      <c r="A1419" s="65"/>
    </row>
    <row r="1420" ht="14.25">
      <c r="A1420" s="65"/>
    </row>
    <row r="1421" ht="14.25">
      <c r="A1421" s="65"/>
    </row>
    <row r="1422" ht="14.25">
      <c r="A1422" s="65"/>
    </row>
    <row r="1423" ht="14.25">
      <c r="A1423" s="65"/>
    </row>
    <row r="1424" ht="14.25">
      <c r="A1424" s="65"/>
    </row>
    <row r="1425" ht="14.25">
      <c r="A1425" s="65"/>
    </row>
    <row r="1426" ht="14.25">
      <c r="A1426" s="65"/>
    </row>
    <row r="1427" ht="14.25">
      <c r="A1427" s="65"/>
    </row>
    <row r="1428" ht="14.25">
      <c r="A1428" s="65"/>
    </row>
    <row r="1429" ht="14.25">
      <c r="A1429" s="65"/>
    </row>
    <row r="1430" ht="14.25">
      <c r="A1430" s="65"/>
    </row>
    <row r="1431" ht="14.25">
      <c r="A1431" s="65"/>
    </row>
    <row r="1432" ht="14.25">
      <c r="A1432" s="65"/>
    </row>
    <row r="1433" ht="14.25">
      <c r="A1433" s="65"/>
    </row>
    <row r="1434" ht="14.25">
      <c r="A1434" s="65"/>
    </row>
    <row r="1435" ht="14.25">
      <c r="A1435" s="65"/>
    </row>
    <row r="1436" ht="14.25">
      <c r="A1436" s="65"/>
    </row>
    <row r="1437" ht="14.25">
      <c r="A1437" s="65"/>
    </row>
    <row r="1438" ht="14.25">
      <c r="A1438" s="65"/>
    </row>
    <row r="1439" ht="14.25">
      <c r="A1439" s="65"/>
    </row>
    <row r="1440" ht="14.25">
      <c r="A1440" s="65"/>
    </row>
    <row r="1441" ht="14.25">
      <c r="A1441" s="65"/>
    </row>
    <row r="1442" ht="14.25">
      <c r="A1442" s="65"/>
    </row>
    <row r="1443" ht="14.25">
      <c r="A1443" s="65"/>
    </row>
    <row r="1444" ht="14.25">
      <c r="A1444" s="65"/>
    </row>
    <row r="1445" ht="14.25">
      <c r="A1445" s="65"/>
    </row>
    <row r="1446" ht="14.25">
      <c r="A1446" s="65"/>
    </row>
    <row r="1447" ht="14.25">
      <c r="A1447" s="65"/>
    </row>
    <row r="1448" ht="14.25">
      <c r="A1448" s="65"/>
    </row>
    <row r="1449" ht="14.25">
      <c r="A1449" s="65"/>
    </row>
    <row r="1450" ht="14.25">
      <c r="A1450" s="65"/>
    </row>
    <row r="1451" ht="14.25">
      <c r="A1451" s="65"/>
    </row>
    <row r="1452" ht="14.25">
      <c r="A1452" s="65"/>
    </row>
    <row r="1453" ht="14.25">
      <c r="A1453" s="65"/>
    </row>
    <row r="1454" ht="14.25">
      <c r="A1454" s="65"/>
    </row>
    <row r="1455" ht="14.25">
      <c r="A1455" s="65"/>
    </row>
    <row r="1456" ht="14.25">
      <c r="A1456" s="65"/>
    </row>
    <row r="1457" ht="14.25">
      <c r="A1457" s="65"/>
    </row>
    <row r="1458" ht="14.25">
      <c r="A1458" s="65"/>
    </row>
    <row r="1459" ht="14.25">
      <c r="A1459" s="65"/>
    </row>
    <row r="1460" ht="14.25">
      <c r="A1460" s="65"/>
    </row>
    <row r="1461" ht="14.25">
      <c r="A1461" s="65"/>
    </row>
    <row r="1462" ht="14.25">
      <c r="A1462" s="65"/>
    </row>
    <row r="1463" ht="14.25">
      <c r="A1463" s="65"/>
    </row>
    <row r="1464" ht="14.25">
      <c r="A1464" s="65"/>
    </row>
    <row r="1465" ht="14.25">
      <c r="A1465" s="65"/>
    </row>
    <row r="1466" ht="14.25">
      <c r="A1466" s="65"/>
    </row>
    <row r="1467" ht="14.25">
      <c r="A1467" s="65"/>
    </row>
    <row r="1468" ht="14.25">
      <c r="A1468" s="65"/>
    </row>
    <row r="1469" ht="14.25">
      <c r="A1469" s="65"/>
    </row>
    <row r="1470" ht="14.25">
      <c r="A1470" s="65"/>
    </row>
    <row r="1471" ht="14.25">
      <c r="A1471" s="65"/>
    </row>
    <row r="1472" ht="14.25">
      <c r="A1472" s="65"/>
    </row>
    <row r="1473" ht="14.25">
      <c r="A1473" s="65"/>
    </row>
    <row r="1474" ht="14.25">
      <c r="A1474" s="65"/>
    </row>
    <row r="1475" ht="14.25">
      <c r="A1475" s="65"/>
    </row>
    <row r="1476" ht="14.25">
      <c r="A1476" s="65"/>
    </row>
    <row r="1477" ht="14.25">
      <c r="A1477" s="65"/>
    </row>
    <row r="1478" ht="14.25">
      <c r="A1478" s="65"/>
    </row>
    <row r="1479" ht="14.25">
      <c r="A1479" s="65"/>
    </row>
    <row r="1480" ht="14.25">
      <c r="A1480" s="65"/>
    </row>
    <row r="1481" ht="14.25">
      <c r="A1481" s="65"/>
    </row>
    <row r="1482" ht="14.25">
      <c r="A1482" s="65"/>
    </row>
    <row r="1483" ht="14.25">
      <c r="A1483" s="65"/>
    </row>
    <row r="1484" ht="14.25">
      <c r="A1484" s="65"/>
    </row>
    <row r="1485" ht="14.25">
      <c r="A1485" s="65"/>
    </row>
    <row r="1486" ht="14.25">
      <c r="A1486" s="65"/>
    </row>
    <row r="1487" ht="14.25">
      <c r="A1487" s="65"/>
    </row>
    <row r="1488" ht="14.25">
      <c r="A1488" s="65"/>
    </row>
    <row r="1489" ht="14.25">
      <c r="A1489" s="65"/>
    </row>
    <row r="1490" ht="14.25">
      <c r="A1490" s="65"/>
    </row>
    <row r="1491" ht="14.25">
      <c r="A1491" s="65"/>
    </row>
    <row r="1492" ht="14.25">
      <c r="A1492" s="65"/>
    </row>
    <row r="1493" ht="14.25">
      <c r="A1493" s="65"/>
    </row>
    <row r="1494" ht="14.25">
      <c r="A1494" s="65"/>
    </row>
    <row r="1495" ht="14.25">
      <c r="A1495" s="65"/>
    </row>
    <row r="1496" ht="14.25">
      <c r="A1496" s="65"/>
    </row>
    <row r="1497" ht="14.25">
      <c r="A1497" s="65"/>
    </row>
    <row r="1498" ht="14.25">
      <c r="A1498" s="65"/>
    </row>
    <row r="1499" ht="14.25">
      <c r="A1499" s="65"/>
    </row>
    <row r="1500" ht="14.25">
      <c r="A1500" s="65"/>
    </row>
    <row r="1501" ht="14.25">
      <c r="A1501" s="65"/>
    </row>
    <row r="1502" ht="14.25">
      <c r="A1502" s="65"/>
    </row>
    <row r="1503" ht="14.25">
      <c r="A1503" s="65"/>
    </row>
    <row r="1504" ht="14.25">
      <c r="A1504" s="65"/>
    </row>
    <row r="1505" ht="14.25">
      <c r="A1505" s="65"/>
    </row>
    <row r="1506" ht="14.25">
      <c r="A1506" s="65"/>
    </row>
    <row r="1507" ht="14.25">
      <c r="A1507" s="65"/>
    </row>
    <row r="1508" ht="14.25">
      <c r="A1508" s="65"/>
    </row>
    <row r="1509" ht="14.25">
      <c r="A1509" s="65"/>
    </row>
    <row r="1510" ht="14.25">
      <c r="A1510" s="65"/>
    </row>
    <row r="1511" ht="14.25">
      <c r="A1511" s="65"/>
    </row>
    <row r="1512" ht="14.25">
      <c r="A1512" s="65"/>
    </row>
    <row r="1513" ht="14.25">
      <c r="A1513" s="65"/>
    </row>
    <row r="1514" ht="14.25">
      <c r="A1514" s="65"/>
    </row>
    <row r="1515" ht="14.25">
      <c r="A1515" s="65"/>
    </row>
    <row r="1516" ht="14.25">
      <c r="A1516" s="65"/>
    </row>
    <row r="1517" ht="14.25">
      <c r="A1517" s="65"/>
    </row>
    <row r="1518" ht="14.25">
      <c r="A1518" s="65"/>
    </row>
    <row r="1519" ht="14.25">
      <c r="A1519" s="65"/>
    </row>
    <row r="1520" ht="14.25">
      <c r="A1520" s="65"/>
    </row>
    <row r="1521" ht="14.25">
      <c r="A1521" s="65"/>
    </row>
    <row r="1522" ht="14.25">
      <c r="A1522" s="65"/>
    </row>
    <row r="1523" ht="14.25">
      <c r="A1523" s="65"/>
    </row>
    <row r="1524" ht="14.25">
      <c r="A1524" s="65"/>
    </row>
    <row r="1525" ht="14.25">
      <c r="A1525" s="65"/>
    </row>
    <row r="1526" ht="14.25">
      <c r="A1526" s="65"/>
    </row>
    <row r="1527" ht="14.25">
      <c r="A1527" s="65"/>
    </row>
    <row r="1528" ht="14.25">
      <c r="A1528" s="65"/>
    </row>
    <row r="1529" ht="14.25">
      <c r="A1529" s="65"/>
    </row>
    <row r="1530" ht="14.25">
      <c r="A1530" s="65"/>
    </row>
    <row r="1531" ht="14.25">
      <c r="A1531" s="65"/>
    </row>
    <row r="1532" ht="14.25">
      <c r="A1532" s="65"/>
    </row>
    <row r="1533" ht="14.25">
      <c r="A1533" s="65"/>
    </row>
    <row r="1534" ht="14.25">
      <c r="A1534" s="65"/>
    </row>
    <row r="1535" ht="14.25">
      <c r="A1535" s="65"/>
    </row>
    <row r="1536" ht="14.25">
      <c r="A1536" s="65"/>
    </row>
    <row r="1537" ht="14.25">
      <c r="A1537" s="65"/>
    </row>
    <row r="1538" ht="14.25">
      <c r="A1538" s="65"/>
    </row>
    <row r="1539" ht="14.25">
      <c r="A1539" s="65"/>
    </row>
    <row r="1540" ht="14.25">
      <c r="A1540" s="65"/>
    </row>
    <row r="1541" ht="14.25">
      <c r="A1541" s="65"/>
    </row>
    <row r="1542" ht="14.25">
      <c r="A1542" s="65"/>
    </row>
    <row r="1543" ht="14.25">
      <c r="A1543" s="65"/>
    </row>
    <row r="1544" ht="14.25">
      <c r="A1544" s="65"/>
    </row>
    <row r="1545" ht="14.25">
      <c r="A1545" s="65"/>
    </row>
    <row r="1546" ht="14.25">
      <c r="A1546" s="65"/>
    </row>
    <row r="1547" ht="14.25">
      <c r="A1547" s="65"/>
    </row>
    <row r="1548" ht="14.25">
      <c r="A1548" s="65"/>
    </row>
    <row r="1549" ht="14.25">
      <c r="A1549" s="65"/>
    </row>
    <row r="1550" ht="14.25">
      <c r="A1550" s="65"/>
    </row>
    <row r="1551" ht="14.25">
      <c r="A1551" s="65"/>
    </row>
    <row r="1552" ht="14.25">
      <c r="A1552" s="65"/>
    </row>
    <row r="1553" ht="14.25">
      <c r="A1553" s="65"/>
    </row>
    <row r="1554" ht="14.25">
      <c r="A1554" s="65"/>
    </row>
    <row r="1555" ht="14.25">
      <c r="A1555" s="65"/>
    </row>
    <row r="1556" ht="14.25">
      <c r="A1556" s="65"/>
    </row>
    <row r="1557" ht="14.25">
      <c r="A1557" s="65"/>
    </row>
    <row r="1558" ht="14.25">
      <c r="A1558" s="65"/>
    </row>
    <row r="1559" ht="14.25">
      <c r="A1559" s="65"/>
    </row>
    <row r="1560" ht="14.25">
      <c r="A1560" s="65"/>
    </row>
    <row r="1561" ht="14.25">
      <c r="A1561" s="65"/>
    </row>
    <row r="1562" ht="14.25">
      <c r="A1562" s="65"/>
    </row>
    <row r="1563" ht="14.25">
      <c r="A1563" s="65"/>
    </row>
    <row r="1564" ht="14.25">
      <c r="A1564" s="65"/>
    </row>
    <row r="1565" ht="14.25">
      <c r="A1565" s="65"/>
    </row>
    <row r="1566" ht="14.25">
      <c r="A1566" s="65"/>
    </row>
    <row r="1567" ht="14.25">
      <c r="A1567" s="65"/>
    </row>
    <row r="1568" ht="14.25">
      <c r="A1568" s="65"/>
    </row>
    <row r="1569" ht="14.25">
      <c r="A1569" s="65"/>
    </row>
    <row r="1570" ht="14.25">
      <c r="A1570" s="65"/>
    </row>
    <row r="1571" ht="14.25">
      <c r="A1571" s="65"/>
    </row>
    <row r="1572" ht="14.25">
      <c r="A1572" s="65"/>
    </row>
    <row r="1573" ht="14.25">
      <c r="A1573" s="65"/>
    </row>
    <row r="1574" ht="14.25">
      <c r="A1574" s="65"/>
    </row>
    <row r="1575" ht="14.25">
      <c r="A1575" s="65"/>
    </row>
    <row r="1576" ht="14.25">
      <c r="A1576" s="65"/>
    </row>
    <row r="1577" ht="14.25">
      <c r="A1577" s="65"/>
    </row>
    <row r="1578" ht="14.25">
      <c r="A1578" s="65"/>
    </row>
    <row r="1579" ht="14.25">
      <c r="A1579" s="65"/>
    </row>
    <row r="1580" ht="14.25">
      <c r="A1580" s="65"/>
    </row>
    <row r="1581" ht="14.25">
      <c r="A1581" s="65"/>
    </row>
    <row r="1582" ht="14.25">
      <c r="A1582" s="65"/>
    </row>
    <row r="1583" ht="14.25">
      <c r="A1583" s="65"/>
    </row>
    <row r="1584" ht="14.25">
      <c r="A1584" s="65"/>
    </row>
    <row r="1585" ht="14.25">
      <c r="A1585" s="65"/>
    </row>
    <row r="1586" ht="14.25">
      <c r="A1586" s="65"/>
    </row>
    <row r="1587" ht="14.25">
      <c r="A1587" s="65"/>
    </row>
    <row r="1588" ht="14.25">
      <c r="A1588" s="65"/>
    </row>
    <row r="1589" ht="14.25">
      <c r="A1589" s="65"/>
    </row>
    <row r="1590" ht="14.25">
      <c r="A1590" s="65"/>
    </row>
    <row r="1591" ht="14.25">
      <c r="A1591" s="65"/>
    </row>
    <row r="1592" ht="14.25">
      <c r="A1592" s="65"/>
    </row>
    <row r="1593" ht="14.25">
      <c r="A1593" s="65"/>
    </row>
    <row r="1594" ht="14.25">
      <c r="A1594" s="65"/>
    </row>
    <row r="1595" ht="14.25">
      <c r="A1595" s="65"/>
    </row>
    <row r="1596" ht="14.25">
      <c r="A1596" s="65"/>
    </row>
    <row r="1597" ht="14.25">
      <c r="A1597" s="65"/>
    </row>
    <row r="1598" ht="14.25">
      <c r="A1598" s="65"/>
    </row>
    <row r="1599" ht="14.25">
      <c r="A1599" s="65"/>
    </row>
    <row r="1600" ht="14.25">
      <c r="A1600" s="65"/>
    </row>
    <row r="1601" ht="14.25">
      <c r="A1601" s="65"/>
    </row>
    <row r="1602" ht="14.25">
      <c r="A1602" s="65"/>
    </row>
    <row r="1603" ht="14.25">
      <c r="A1603" s="65"/>
    </row>
    <row r="1604" ht="14.25">
      <c r="A1604" s="65"/>
    </row>
    <row r="1605" ht="14.25">
      <c r="A1605" s="65"/>
    </row>
    <row r="1606" ht="14.25">
      <c r="A1606" s="65"/>
    </row>
    <row r="1607" ht="14.25">
      <c r="A1607" s="65"/>
    </row>
    <row r="1608" ht="14.25">
      <c r="A1608" s="65"/>
    </row>
    <row r="1609" ht="14.25">
      <c r="A1609" s="65"/>
    </row>
    <row r="1610" ht="14.25">
      <c r="A1610" s="65"/>
    </row>
    <row r="1611" ht="14.25">
      <c r="A1611" s="65"/>
    </row>
    <row r="1612" ht="14.25">
      <c r="A1612" s="65"/>
    </row>
    <row r="1613" ht="14.25">
      <c r="A1613" s="65"/>
    </row>
    <row r="1614" ht="14.25">
      <c r="A1614" s="65"/>
    </row>
    <row r="1615" ht="14.25">
      <c r="A1615" s="65"/>
    </row>
    <row r="1616" ht="14.25">
      <c r="A1616" s="65"/>
    </row>
    <row r="1617" ht="14.25">
      <c r="A1617" s="65"/>
    </row>
    <row r="1618" ht="14.25">
      <c r="A1618" s="65"/>
    </row>
    <row r="1619" ht="14.25">
      <c r="A1619" s="65"/>
    </row>
    <row r="1620" ht="14.25">
      <c r="A1620" s="65"/>
    </row>
    <row r="1621" ht="14.25">
      <c r="A1621" s="65"/>
    </row>
    <row r="1622" ht="14.25">
      <c r="A1622" s="65"/>
    </row>
    <row r="1623" ht="14.25">
      <c r="A1623" s="65"/>
    </row>
    <row r="1624" ht="14.25">
      <c r="A1624" s="65"/>
    </row>
    <row r="1625" ht="14.25">
      <c r="A1625" s="65"/>
    </row>
    <row r="1626" ht="14.25">
      <c r="A1626" s="65"/>
    </row>
    <row r="1627" ht="14.25">
      <c r="A1627" s="65"/>
    </row>
    <row r="1628" ht="14.25">
      <c r="A1628" s="65"/>
    </row>
    <row r="1629" ht="14.25">
      <c r="A1629" s="65"/>
    </row>
    <row r="1630" ht="14.25">
      <c r="A1630" s="65"/>
    </row>
    <row r="1631" ht="14.25">
      <c r="A1631" s="65"/>
    </row>
    <row r="1632" ht="14.25">
      <c r="A1632" s="65"/>
    </row>
    <row r="1633" ht="14.25">
      <c r="A1633" s="65"/>
    </row>
    <row r="1634" ht="14.25">
      <c r="A1634" s="65"/>
    </row>
    <row r="1635" ht="14.25">
      <c r="A1635" s="65"/>
    </row>
    <row r="1636" ht="14.25">
      <c r="A1636" s="65"/>
    </row>
    <row r="1637" ht="14.25">
      <c r="A1637" s="65"/>
    </row>
    <row r="1638" ht="14.25">
      <c r="A1638" s="65"/>
    </row>
    <row r="1639" ht="14.25">
      <c r="A1639" s="65"/>
    </row>
    <row r="1640" ht="14.25">
      <c r="A1640" s="65"/>
    </row>
    <row r="1641" ht="14.25">
      <c r="A1641" s="65"/>
    </row>
    <row r="1642" ht="14.25">
      <c r="A1642" s="65"/>
    </row>
    <row r="1643" ht="14.25">
      <c r="A1643" s="65"/>
    </row>
    <row r="1644" ht="14.25">
      <c r="A1644" s="65"/>
    </row>
    <row r="1645" ht="14.25">
      <c r="A1645" s="65"/>
    </row>
    <row r="1646" ht="14.25">
      <c r="A1646" s="65"/>
    </row>
    <row r="1647" ht="14.25">
      <c r="A1647" s="65"/>
    </row>
    <row r="1648" ht="14.25">
      <c r="A1648" s="65"/>
    </row>
    <row r="1649" ht="14.25">
      <c r="A1649" s="65"/>
    </row>
    <row r="1650" ht="14.25">
      <c r="A1650" s="65"/>
    </row>
    <row r="1651" ht="14.25">
      <c r="A1651" s="65"/>
    </row>
    <row r="1652" ht="14.25">
      <c r="A1652" s="65"/>
    </row>
    <row r="1653" ht="14.25">
      <c r="A1653" s="65"/>
    </row>
    <row r="1654" ht="14.25">
      <c r="A1654" s="65"/>
    </row>
    <row r="1655" ht="14.25">
      <c r="A1655" s="65"/>
    </row>
    <row r="1656" ht="14.25">
      <c r="A1656" s="65"/>
    </row>
    <row r="1657" ht="14.25">
      <c r="A1657" s="65"/>
    </row>
    <row r="1658" ht="14.25">
      <c r="A1658" s="65"/>
    </row>
    <row r="1659" ht="14.25">
      <c r="A1659" s="65"/>
    </row>
    <row r="1660" ht="14.25">
      <c r="A1660" s="65"/>
    </row>
    <row r="1661" ht="14.25">
      <c r="A1661" s="65"/>
    </row>
    <row r="1662" ht="14.25">
      <c r="A1662" s="65"/>
    </row>
    <row r="1663" ht="14.25">
      <c r="A1663" s="65"/>
    </row>
    <row r="1664" ht="14.25">
      <c r="A1664" s="65"/>
    </row>
    <row r="1665" ht="14.25">
      <c r="A1665" s="65"/>
    </row>
    <row r="1666" ht="14.25">
      <c r="A1666" s="65"/>
    </row>
    <row r="1667" ht="14.25">
      <c r="A1667" s="65"/>
    </row>
    <row r="1668" ht="14.25">
      <c r="A1668" s="65"/>
    </row>
    <row r="1669" ht="14.25">
      <c r="A1669" s="65"/>
    </row>
    <row r="1670" ht="14.25">
      <c r="A1670" s="65"/>
    </row>
    <row r="1671" ht="14.25">
      <c r="A1671" s="65"/>
    </row>
    <row r="1672" ht="14.25">
      <c r="A1672" s="65"/>
    </row>
    <row r="1673" ht="14.25">
      <c r="A1673" s="65"/>
    </row>
    <row r="1674" ht="14.25">
      <c r="A1674" s="65"/>
    </row>
    <row r="1675" ht="14.25">
      <c r="A1675" s="65"/>
    </row>
    <row r="1676" ht="14.25">
      <c r="A1676" s="65"/>
    </row>
    <row r="1677" ht="14.25">
      <c r="A1677" s="65"/>
    </row>
    <row r="1678" ht="14.25">
      <c r="A1678" s="65"/>
    </row>
    <row r="1679" ht="14.25">
      <c r="A1679" s="65"/>
    </row>
    <row r="1680" ht="14.25">
      <c r="A1680" s="65"/>
    </row>
    <row r="1681" ht="14.25">
      <c r="A1681" s="65"/>
    </row>
    <row r="1682" ht="14.25">
      <c r="A1682" s="65"/>
    </row>
    <row r="1683" ht="14.25">
      <c r="A1683" s="65"/>
    </row>
    <row r="1684" ht="14.25">
      <c r="A1684" s="65"/>
    </row>
    <row r="1685" ht="14.25">
      <c r="A1685" s="65"/>
    </row>
    <row r="1686" ht="14.25">
      <c r="A1686" s="65"/>
    </row>
    <row r="1687" ht="14.25">
      <c r="A1687" s="65"/>
    </row>
    <row r="1688" ht="14.25">
      <c r="A1688" s="65"/>
    </row>
    <row r="1689" ht="14.25">
      <c r="A1689" s="65"/>
    </row>
    <row r="1690" ht="14.25">
      <c r="A1690" s="65"/>
    </row>
    <row r="1691" ht="14.25">
      <c r="A1691" s="65"/>
    </row>
    <row r="1692" ht="14.25">
      <c r="A1692" s="65"/>
    </row>
    <row r="1693" ht="14.25">
      <c r="A1693" s="65"/>
    </row>
    <row r="1694" ht="14.25">
      <c r="A1694" s="65"/>
    </row>
    <row r="1695" ht="14.25">
      <c r="A1695" s="65"/>
    </row>
    <row r="1696" ht="14.25">
      <c r="A1696" s="65"/>
    </row>
    <row r="1697" ht="14.25">
      <c r="A1697" s="65"/>
    </row>
    <row r="1698" ht="14.25">
      <c r="A1698" s="65"/>
    </row>
  </sheetData>
  <sheetProtection/>
  <mergeCells count="15">
    <mergeCell ref="A9:A10"/>
    <mergeCell ref="K1:L1"/>
    <mergeCell ref="I2:L2"/>
    <mergeCell ref="J3:L3"/>
    <mergeCell ref="G9:G10"/>
    <mergeCell ref="B9:B10"/>
    <mergeCell ref="A7:L7"/>
    <mergeCell ref="J9:J10"/>
    <mergeCell ref="K9:K10"/>
    <mergeCell ref="L9:L10"/>
    <mergeCell ref="C9:C10"/>
    <mergeCell ref="D9:D10"/>
    <mergeCell ref="E9:E10"/>
    <mergeCell ref="H9:H10"/>
    <mergeCell ref="I9:I10"/>
  </mergeCells>
  <printOptions horizontalCentered="1"/>
  <pageMargins left="0.31" right="0.18" top="0.35433070866141736" bottom="0.2755905511811024" header="0.34" footer="0.27"/>
  <pageSetup fitToHeight="99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zoomScale="75" zoomScaleNormal="75" zoomScaleSheetLayoutView="100" zoomScalePageLayoutView="0" workbookViewId="0" topLeftCell="A1">
      <selection activeCell="H4" sqref="H4"/>
    </sheetView>
  </sheetViews>
  <sheetFormatPr defaultColWidth="8.796875" defaultRowHeight="15"/>
  <cols>
    <col min="1" max="1" width="5" style="9" customWidth="1"/>
    <col min="2" max="2" width="52.59765625" style="20" customWidth="1"/>
    <col min="3" max="3" width="9.59765625" style="9" customWidth="1"/>
    <col min="4" max="4" width="4.59765625" style="9" customWidth="1"/>
    <col min="5" max="5" width="4.3984375" style="9" customWidth="1"/>
    <col min="6" max="6" width="5" style="9" customWidth="1"/>
    <col min="7" max="7" width="13" style="9" customWidth="1"/>
    <col min="8" max="8" width="13.09765625" style="9" customWidth="1"/>
    <col min="9" max="9" width="14.19921875" style="9" customWidth="1"/>
    <col min="10" max="16384" width="9" style="9" customWidth="1"/>
  </cols>
  <sheetData>
    <row r="1" spans="3:9" ht="15.75">
      <c r="C1" s="129"/>
      <c r="D1" s="129"/>
      <c r="E1" s="129"/>
      <c r="F1" s="129"/>
      <c r="G1" s="129"/>
      <c r="H1" s="109" t="s">
        <v>501</v>
      </c>
      <c r="I1" s="112"/>
    </row>
    <row r="2" spans="3:9" ht="15.75">
      <c r="C2" s="110" t="s">
        <v>99</v>
      </c>
      <c r="D2" s="112"/>
      <c r="E2" s="112"/>
      <c r="F2" s="112"/>
      <c r="G2" s="112"/>
      <c r="H2" s="112"/>
      <c r="I2" s="112"/>
    </row>
    <row r="3" spans="3:9" ht="15.75">
      <c r="C3" s="129"/>
      <c r="D3" s="129"/>
      <c r="E3" s="129"/>
      <c r="F3" s="129"/>
      <c r="G3" s="129"/>
      <c r="H3" s="110" t="s">
        <v>638</v>
      </c>
      <c r="I3" s="112"/>
    </row>
    <row r="4" spans="3:7" ht="14.25">
      <c r="C4" s="129"/>
      <c r="D4" s="129"/>
      <c r="E4" s="129"/>
      <c r="F4" s="129"/>
      <c r="G4" s="129"/>
    </row>
    <row r="5" spans="3:7" ht="14.25">
      <c r="C5" s="129"/>
      <c r="D5" s="129"/>
      <c r="E5" s="129"/>
      <c r="F5" s="129"/>
      <c r="G5" s="129"/>
    </row>
    <row r="6" spans="3:7" ht="14.25">
      <c r="C6" s="129"/>
      <c r="D6" s="129"/>
      <c r="E6" s="129"/>
      <c r="F6" s="129"/>
      <c r="G6" s="129"/>
    </row>
    <row r="7" spans="3:7" ht="8.25" customHeight="1">
      <c r="C7" s="130"/>
      <c r="D7" s="130"/>
      <c r="E7" s="130"/>
      <c r="F7" s="130"/>
      <c r="G7" s="130"/>
    </row>
    <row r="8" spans="1:9" ht="33" customHeight="1">
      <c r="A8" s="131" t="s">
        <v>502</v>
      </c>
      <c r="B8" s="131"/>
      <c r="C8" s="131"/>
      <c r="D8" s="131"/>
      <c r="E8" s="131"/>
      <c r="F8" s="131"/>
      <c r="G8" s="131"/>
      <c r="H8" s="132"/>
      <c r="I8" s="132"/>
    </row>
    <row r="9" spans="2:7" ht="15" thickBot="1">
      <c r="B9" s="133"/>
      <c r="C9" s="133"/>
      <c r="D9" s="133"/>
      <c r="E9" s="133"/>
      <c r="F9" s="133"/>
      <c r="G9" s="133"/>
    </row>
    <row r="10" spans="1:9" ht="29.25" thickBot="1">
      <c r="A10" s="90" t="s">
        <v>482</v>
      </c>
      <c r="B10" s="91" t="s">
        <v>487</v>
      </c>
      <c r="C10" s="92" t="s">
        <v>257</v>
      </c>
      <c r="D10" s="93" t="s">
        <v>255</v>
      </c>
      <c r="E10" s="93" t="s">
        <v>256</v>
      </c>
      <c r="F10" s="93" t="s">
        <v>258</v>
      </c>
      <c r="G10" s="94" t="s">
        <v>409</v>
      </c>
      <c r="H10" s="93" t="s">
        <v>408</v>
      </c>
      <c r="I10" s="95" t="s">
        <v>410</v>
      </c>
    </row>
    <row r="11" spans="1:9" ht="45.75" customHeight="1">
      <c r="A11" s="84">
        <v>1</v>
      </c>
      <c r="B11" s="85" t="str">
        <f>'Прилож №6'!A109</f>
        <v>Долгосрочная городская  целевая программа "Развитие муниципальной службы в городе Долгопрудном на период 2011-2013 гг"</v>
      </c>
      <c r="C11" s="86" t="s">
        <v>277</v>
      </c>
      <c r="D11" s="87"/>
      <c r="E11" s="87"/>
      <c r="F11" s="87"/>
      <c r="G11" s="98">
        <f>G12+G19+G26</f>
        <v>42073.899999999994</v>
      </c>
      <c r="H11" s="98">
        <f>H12+H19+H26</f>
        <v>38716.2</v>
      </c>
      <c r="I11" s="12">
        <f>H11/G11*100</f>
        <v>92.01951803849894</v>
      </c>
    </row>
    <row r="12" spans="1:9" ht="14.25">
      <c r="A12" s="23"/>
      <c r="B12" s="24" t="s">
        <v>488</v>
      </c>
      <c r="C12" s="14" t="s">
        <v>277</v>
      </c>
      <c r="D12" s="18" t="s">
        <v>259</v>
      </c>
      <c r="E12" s="18"/>
      <c r="F12" s="18"/>
      <c r="G12" s="88">
        <f>G13</f>
        <v>37378.899999999994</v>
      </c>
      <c r="H12" s="88">
        <f>H13</f>
        <v>34040.1</v>
      </c>
      <c r="I12" s="96"/>
    </row>
    <row r="13" spans="1:9" ht="14.25">
      <c r="A13" s="23"/>
      <c r="B13" s="25" t="s">
        <v>190</v>
      </c>
      <c r="C13" s="8" t="s">
        <v>277</v>
      </c>
      <c r="D13" s="4" t="s">
        <v>259</v>
      </c>
      <c r="E13" s="4" t="s">
        <v>326</v>
      </c>
      <c r="F13" s="4"/>
      <c r="G13" s="89">
        <f>G14+G16</f>
        <v>37378.899999999994</v>
      </c>
      <c r="H13" s="89">
        <f>H14+H16</f>
        <v>34040.1</v>
      </c>
      <c r="I13" s="96"/>
    </row>
    <row r="14" spans="1:9" ht="14.25">
      <c r="A14" s="23"/>
      <c r="B14" s="25" t="s">
        <v>109</v>
      </c>
      <c r="C14" s="8" t="s">
        <v>277</v>
      </c>
      <c r="D14" s="4" t="s">
        <v>259</v>
      </c>
      <c r="E14" s="4" t="s">
        <v>326</v>
      </c>
      <c r="F14" s="4" t="s">
        <v>393</v>
      </c>
      <c r="G14" s="89">
        <f>G15</f>
        <v>27386.699999999997</v>
      </c>
      <c r="H14" s="89">
        <f>H15</f>
        <v>25082.2</v>
      </c>
      <c r="I14" s="96"/>
    </row>
    <row r="15" spans="1:9" ht="28.5">
      <c r="A15" s="23"/>
      <c r="B15" s="16" t="s">
        <v>417</v>
      </c>
      <c r="C15" s="8" t="s">
        <v>277</v>
      </c>
      <c r="D15" s="4" t="s">
        <v>259</v>
      </c>
      <c r="E15" s="4" t="s">
        <v>326</v>
      </c>
      <c r="F15" s="4" t="s">
        <v>416</v>
      </c>
      <c r="G15" s="89">
        <f>'Прилож №6'!G111</f>
        <v>27386.699999999997</v>
      </c>
      <c r="H15" s="83">
        <f>'Прилож №6'!I111</f>
        <v>25082.2</v>
      </c>
      <c r="I15" s="96"/>
    </row>
    <row r="16" spans="1:9" ht="28.5">
      <c r="A16" s="23"/>
      <c r="B16" s="16" t="s">
        <v>599</v>
      </c>
      <c r="C16" s="8" t="s">
        <v>277</v>
      </c>
      <c r="D16" s="4" t="s">
        <v>259</v>
      </c>
      <c r="E16" s="4" t="s">
        <v>326</v>
      </c>
      <c r="F16" s="4" t="s">
        <v>526</v>
      </c>
      <c r="G16" s="89">
        <f>G17+G18</f>
        <v>9992.2</v>
      </c>
      <c r="H16" s="89">
        <f>H17+H18</f>
        <v>8957.9</v>
      </c>
      <c r="I16" s="96"/>
    </row>
    <row r="17" spans="1:9" ht="28.5">
      <c r="A17" s="23"/>
      <c r="B17" s="16" t="s">
        <v>440</v>
      </c>
      <c r="C17" s="8" t="s">
        <v>277</v>
      </c>
      <c r="D17" s="4" t="s">
        <v>259</v>
      </c>
      <c r="E17" s="4" t="s">
        <v>326</v>
      </c>
      <c r="F17" s="4" t="s">
        <v>437</v>
      </c>
      <c r="G17" s="89">
        <f>'Прилож №6'!G113</f>
        <v>6588.5</v>
      </c>
      <c r="H17" s="83">
        <f>'Прилож №6'!I113</f>
        <v>5787.9</v>
      </c>
      <c r="I17" s="96"/>
    </row>
    <row r="18" spans="1:9" ht="30" customHeight="1">
      <c r="A18" s="23"/>
      <c r="B18" s="16" t="s">
        <v>431</v>
      </c>
      <c r="C18" s="8" t="s">
        <v>277</v>
      </c>
      <c r="D18" s="4" t="s">
        <v>259</v>
      </c>
      <c r="E18" s="4" t="s">
        <v>326</v>
      </c>
      <c r="F18" s="4" t="s">
        <v>421</v>
      </c>
      <c r="G18" s="89">
        <f>'Прилож №6'!G114</f>
        <v>3403.7</v>
      </c>
      <c r="H18" s="83">
        <f>'Прилож №6'!I114</f>
        <v>3170</v>
      </c>
      <c r="I18" s="96"/>
    </row>
    <row r="19" spans="1:9" ht="15">
      <c r="A19" s="23"/>
      <c r="B19" s="16" t="s">
        <v>145</v>
      </c>
      <c r="C19" s="8" t="s">
        <v>277</v>
      </c>
      <c r="D19" s="4" t="s">
        <v>267</v>
      </c>
      <c r="E19" s="4"/>
      <c r="F19" s="4"/>
      <c r="G19" s="89">
        <f>G20</f>
        <v>2984.9</v>
      </c>
      <c r="H19" s="89">
        <f>H20</f>
        <v>2983.9</v>
      </c>
      <c r="I19" s="12"/>
    </row>
    <row r="20" spans="1:9" ht="14.25">
      <c r="A20" s="23"/>
      <c r="B20" s="16" t="s">
        <v>162</v>
      </c>
      <c r="C20" s="8" t="s">
        <v>277</v>
      </c>
      <c r="D20" s="4" t="s">
        <v>267</v>
      </c>
      <c r="E20" s="4" t="s">
        <v>265</v>
      </c>
      <c r="F20" s="4"/>
      <c r="G20" s="89">
        <f>G21+G23</f>
        <v>2984.9</v>
      </c>
      <c r="H20" s="89">
        <f>H21+H23</f>
        <v>2983.9</v>
      </c>
      <c r="I20" s="96"/>
    </row>
    <row r="21" spans="1:9" ht="14.25">
      <c r="A21" s="23"/>
      <c r="B21" s="16" t="s">
        <v>110</v>
      </c>
      <c r="C21" s="8" t="s">
        <v>277</v>
      </c>
      <c r="D21" s="4" t="s">
        <v>267</v>
      </c>
      <c r="E21" s="4" t="s">
        <v>265</v>
      </c>
      <c r="F21" s="4" t="s">
        <v>393</v>
      </c>
      <c r="G21" s="89">
        <f>G22</f>
        <v>2090.3</v>
      </c>
      <c r="H21" s="89">
        <f>H22</f>
        <v>2090.3</v>
      </c>
      <c r="I21" s="96"/>
    </row>
    <row r="22" spans="1:9" ht="28.5">
      <c r="A22" s="23"/>
      <c r="B22" s="16" t="s">
        <v>417</v>
      </c>
      <c r="C22" s="8" t="s">
        <v>277</v>
      </c>
      <c r="D22" s="4" t="s">
        <v>267</v>
      </c>
      <c r="E22" s="4" t="s">
        <v>265</v>
      </c>
      <c r="F22" s="4" t="s">
        <v>416</v>
      </c>
      <c r="G22" s="89">
        <f>'Прилож №6'!G452</f>
        <v>2090.3</v>
      </c>
      <c r="H22" s="83">
        <f>'Прилож №6'!I452</f>
        <v>2090.3</v>
      </c>
      <c r="I22" s="96"/>
    </row>
    <row r="23" spans="1:9" ht="28.5">
      <c r="A23" s="23"/>
      <c r="B23" s="16" t="str">
        <f>'Прилож №6'!A453</f>
        <v>Иные закупки товаров, работ и услуг для государственных нужд</v>
      </c>
      <c r="C23" s="8" t="s">
        <v>277</v>
      </c>
      <c r="D23" s="4" t="s">
        <v>267</v>
      </c>
      <c r="E23" s="4" t="s">
        <v>265</v>
      </c>
      <c r="F23" s="4" t="s">
        <v>526</v>
      </c>
      <c r="G23" s="89">
        <f>G24+G25</f>
        <v>894.6</v>
      </c>
      <c r="H23" s="89">
        <f>H24+H25</f>
        <v>893.6</v>
      </c>
      <c r="I23" s="96"/>
    </row>
    <row r="24" spans="1:9" ht="28.5">
      <c r="A24" s="23"/>
      <c r="B24" s="16" t="str">
        <f>'Прилож №6'!A454</f>
        <v>Закупка товаров, работ, услуг в сфере информационно-коммуникационных технологий</v>
      </c>
      <c r="C24" s="8" t="s">
        <v>277</v>
      </c>
      <c r="D24" s="4" t="s">
        <v>267</v>
      </c>
      <c r="E24" s="4" t="s">
        <v>265</v>
      </c>
      <c r="F24" s="4" t="s">
        <v>437</v>
      </c>
      <c r="G24" s="89">
        <f>'Прилож №6'!G454</f>
        <v>435.3</v>
      </c>
      <c r="H24" s="83">
        <f>'Прилож №6'!I454</f>
        <v>435.3</v>
      </c>
      <c r="I24" s="96"/>
    </row>
    <row r="25" spans="1:9" ht="38.25" customHeight="1">
      <c r="A25" s="23"/>
      <c r="B25" s="16" t="s">
        <v>431</v>
      </c>
      <c r="C25" s="8" t="s">
        <v>277</v>
      </c>
      <c r="D25" s="4" t="s">
        <v>267</v>
      </c>
      <c r="E25" s="4" t="s">
        <v>265</v>
      </c>
      <c r="F25" s="4" t="s">
        <v>421</v>
      </c>
      <c r="G25" s="89">
        <f>'Прилож №6'!G455</f>
        <v>459.3</v>
      </c>
      <c r="H25" s="83">
        <f>'Прилож №6'!I455</f>
        <v>458.3</v>
      </c>
      <c r="I25" s="96"/>
    </row>
    <row r="26" spans="1:9" ht="29.25">
      <c r="A26" s="23"/>
      <c r="B26" s="16" t="s">
        <v>489</v>
      </c>
      <c r="C26" s="8" t="s">
        <v>277</v>
      </c>
      <c r="D26" s="4" t="s">
        <v>268</v>
      </c>
      <c r="E26" s="4"/>
      <c r="F26" s="4"/>
      <c r="G26" s="89">
        <f>G27</f>
        <v>1710.1</v>
      </c>
      <c r="H26" s="89">
        <f>H27</f>
        <v>1692.2</v>
      </c>
      <c r="I26" s="12"/>
    </row>
    <row r="27" spans="1:9" ht="14.25">
      <c r="A27" s="23"/>
      <c r="B27" s="16" t="s">
        <v>490</v>
      </c>
      <c r="C27" s="8" t="s">
        <v>277</v>
      </c>
      <c r="D27" s="4" t="s">
        <v>268</v>
      </c>
      <c r="E27" s="4" t="s">
        <v>261</v>
      </c>
      <c r="F27" s="4"/>
      <c r="G27" s="89">
        <f>G28+G30</f>
        <v>1710.1</v>
      </c>
      <c r="H27" s="89">
        <f>H28+H30</f>
        <v>1692.2</v>
      </c>
      <c r="I27" s="96"/>
    </row>
    <row r="28" spans="1:9" ht="14.25">
      <c r="A28" s="23"/>
      <c r="B28" s="16" t="s">
        <v>110</v>
      </c>
      <c r="C28" s="8" t="s">
        <v>277</v>
      </c>
      <c r="D28" s="4" t="s">
        <v>268</v>
      </c>
      <c r="E28" s="4" t="s">
        <v>261</v>
      </c>
      <c r="F28" s="4" t="s">
        <v>393</v>
      </c>
      <c r="G28" s="89">
        <f>G29</f>
        <v>1166.8999999999999</v>
      </c>
      <c r="H28" s="89">
        <f>H29</f>
        <v>1166.9</v>
      </c>
      <c r="I28" s="96"/>
    </row>
    <row r="29" spans="1:9" ht="28.5">
      <c r="A29" s="23"/>
      <c r="B29" s="16" t="s">
        <v>417</v>
      </c>
      <c r="C29" s="8" t="s">
        <v>277</v>
      </c>
      <c r="D29" s="4" t="s">
        <v>268</v>
      </c>
      <c r="E29" s="4" t="s">
        <v>261</v>
      </c>
      <c r="F29" s="4" t="s">
        <v>416</v>
      </c>
      <c r="G29" s="89">
        <f>'Прилож №6'!G520</f>
        <v>1166.8999999999999</v>
      </c>
      <c r="H29" s="83">
        <f>'Прилож №6'!I520</f>
        <v>1166.9</v>
      </c>
      <c r="I29" s="96"/>
    </row>
    <row r="30" spans="1:9" ht="28.5">
      <c r="A30" s="23"/>
      <c r="B30" s="16" t="s">
        <v>599</v>
      </c>
      <c r="C30" s="8" t="s">
        <v>277</v>
      </c>
      <c r="D30" s="4" t="s">
        <v>268</v>
      </c>
      <c r="E30" s="4" t="s">
        <v>261</v>
      </c>
      <c r="F30" s="26" t="s">
        <v>526</v>
      </c>
      <c r="G30" s="100">
        <f>G31+G32</f>
        <v>543.2</v>
      </c>
      <c r="H30" s="100">
        <f>H31+H32</f>
        <v>525.3</v>
      </c>
      <c r="I30" s="96"/>
    </row>
    <row r="31" spans="1:9" ht="28.5">
      <c r="A31" s="23"/>
      <c r="B31" s="27" t="s">
        <v>431</v>
      </c>
      <c r="C31" s="28" t="s">
        <v>277</v>
      </c>
      <c r="D31" s="26" t="s">
        <v>268</v>
      </c>
      <c r="E31" s="26" t="s">
        <v>261</v>
      </c>
      <c r="F31" s="26" t="s">
        <v>421</v>
      </c>
      <c r="G31" s="100">
        <f>'Прилож №6'!G523</f>
        <v>458.6</v>
      </c>
      <c r="H31" s="83">
        <f>'Прилож №6'!I523</f>
        <v>440.7</v>
      </c>
      <c r="I31" s="96"/>
    </row>
    <row r="32" spans="1:9" ht="28.5">
      <c r="A32" s="23"/>
      <c r="B32" s="16" t="s">
        <v>440</v>
      </c>
      <c r="C32" s="28" t="s">
        <v>277</v>
      </c>
      <c r="D32" s="26" t="s">
        <v>268</v>
      </c>
      <c r="E32" s="26" t="s">
        <v>261</v>
      </c>
      <c r="F32" s="26" t="s">
        <v>437</v>
      </c>
      <c r="G32" s="100">
        <f>'Прилож №6'!G522</f>
        <v>84.6</v>
      </c>
      <c r="H32" s="83">
        <f>'Прилож №6'!I522</f>
        <v>84.6</v>
      </c>
      <c r="I32" s="96"/>
    </row>
    <row r="33" spans="1:9" ht="102.75" customHeight="1">
      <c r="A33" s="19">
        <v>2</v>
      </c>
      <c r="B33" s="13" t="str">
        <f>'Прилож №6'!A115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33" s="11" t="s">
        <v>346</v>
      </c>
      <c r="D33" s="3"/>
      <c r="E33" s="3"/>
      <c r="F33" s="3"/>
      <c r="G33" s="99">
        <f>G34</f>
        <v>6911.500000000001</v>
      </c>
      <c r="H33" s="99">
        <f>H34</f>
        <v>6553.8</v>
      </c>
      <c r="I33" s="12">
        <f>H33/G33*100</f>
        <v>94.82456774940316</v>
      </c>
    </row>
    <row r="34" spans="1:9" ht="14.25">
      <c r="A34" s="23"/>
      <c r="B34" s="24" t="s">
        <v>488</v>
      </c>
      <c r="C34" s="14" t="s">
        <v>346</v>
      </c>
      <c r="D34" s="18" t="s">
        <v>259</v>
      </c>
      <c r="E34" s="18"/>
      <c r="F34" s="18"/>
      <c r="G34" s="88">
        <f>G35</f>
        <v>6911.500000000001</v>
      </c>
      <c r="H34" s="88">
        <f>H35</f>
        <v>6553.8</v>
      </c>
      <c r="I34" s="96"/>
    </row>
    <row r="35" spans="1:9" ht="14.25">
      <c r="A35" s="23"/>
      <c r="B35" s="25" t="s">
        <v>190</v>
      </c>
      <c r="C35" s="8" t="s">
        <v>346</v>
      </c>
      <c r="D35" s="4" t="s">
        <v>259</v>
      </c>
      <c r="E35" s="4" t="s">
        <v>326</v>
      </c>
      <c r="F35" s="4"/>
      <c r="G35" s="89">
        <f>G36+G37+G39+G38</f>
        <v>6911.500000000001</v>
      </c>
      <c r="H35" s="89">
        <f>H36+H37+H39+H38</f>
        <v>6553.8</v>
      </c>
      <c r="I35" s="96"/>
    </row>
    <row r="36" spans="1:9" ht="28.5">
      <c r="A36" s="23"/>
      <c r="B36" s="16" t="s">
        <v>431</v>
      </c>
      <c r="C36" s="8" t="s">
        <v>346</v>
      </c>
      <c r="D36" s="4" t="s">
        <v>259</v>
      </c>
      <c r="E36" s="4" t="s">
        <v>326</v>
      </c>
      <c r="F36" s="4" t="s">
        <v>421</v>
      </c>
      <c r="G36" s="89">
        <f>'Прилож №6'!G116</f>
        <v>6123.6</v>
      </c>
      <c r="H36" s="83">
        <f>'Прилож №6'!I116</f>
        <v>5777.5</v>
      </c>
      <c r="I36" s="96"/>
    </row>
    <row r="37" spans="1:9" ht="14.25">
      <c r="A37" s="23"/>
      <c r="B37" s="16" t="s">
        <v>86</v>
      </c>
      <c r="C37" s="8" t="s">
        <v>346</v>
      </c>
      <c r="D37" s="4" t="s">
        <v>259</v>
      </c>
      <c r="E37" s="4" t="s">
        <v>326</v>
      </c>
      <c r="F37" s="4" t="s">
        <v>85</v>
      </c>
      <c r="G37" s="89">
        <f>'Прилож №6'!G117</f>
        <v>365.3</v>
      </c>
      <c r="H37" s="83">
        <f>'Прилож №6'!I117</f>
        <v>365.3</v>
      </c>
      <c r="I37" s="96"/>
    </row>
    <row r="38" spans="1:9" ht="14.25">
      <c r="A38" s="23"/>
      <c r="B38" s="29" t="s">
        <v>399</v>
      </c>
      <c r="C38" s="8" t="s">
        <v>346</v>
      </c>
      <c r="D38" s="4" t="s">
        <v>259</v>
      </c>
      <c r="E38" s="4" t="s">
        <v>326</v>
      </c>
      <c r="F38" s="4" t="s">
        <v>398</v>
      </c>
      <c r="G38" s="89">
        <f>'Прилож №6'!G118</f>
        <v>160</v>
      </c>
      <c r="H38" s="83">
        <f>'Прилож №6'!I118</f>
        <v>160</v>
      </c>
      <c r="I38" s="96"/>
    </row>
    <row r="39" spans="1:9" ht="14.25">
      <c r="A39" s="23"/>
      <c r="B39" s="16" t="s">
        <v>426</v>
      </c>
      <c r="C39" s="8" t="s">
        <v>346</v>
      </c>
      <c r="D39" s="4" t="s">
        <v>259</v>
      </c>
      <c r="E39" s="4" t="s">
        <v>326</v>
      </c>
      <c r="F39" s="4" t="s">
        <v>425</v>
      </c>
      <c r="G39" s="89">
        <f>'Прилож №6'!G119</f>
        <v>262.6</v>
      </c>
      <c r="H39" s="83">
        <f>'Прилож №6'!I119</f>
        <v>251</v>
      </c>
      <c r="I39" s="96"/>
    </row>
    <row r="40" spans="1:9" ht="49.5" customHeight="1">
      <c r="A40" s="19">
        <v>3</v>
      </c>
      <c r="B40" s="15" t="str">
        <f>'Прилож №6'!A148</f>
        <v>Долгосрочная целевая программа "Защита населения и территории города Долгопрудный от чрезвычайных ситуаций на 2012-2015 годы"</v>
      </c>
      <c r="C40" s="11" t="s">
        <v>290</v>
      </c>
      <c r="D40" s="3"/>
      <c r="E40" s="3"/>
      <c r="F40" s="3"/>
      <c r="G40" s="99">
        <f aca="true" t="shared" si="0" ref="G40:H42">G41</f>
        <v>1146</v>
      </c>
      <c r="H40" s="99">
        <f t="shared" si="0"/>
        <v>1089.3</v>
      </c>
      <c r="I40" s="12">
        <f>H40/G40*100</f>
        <v>95.05235602094241</v>
      </c>
    </row>
    <row r="41" spans="1:9" ht="27" customHeight="1">
      <c r="A41" s="23"/>
      <c r="B41" s="17" t="s">
        <v>491</v>
      </c>
      <c r="C41" s="14" t="s">
        <v>290</v>
      </c>
      <c r="D41" s="18" t="s">
        <v>264</v>
      </c>
      <c r="E41" s="18"/>
      <c r="F41" s="18"/>
      <c r="G41" s="88">
        <f t="shared" si="0"/>
        <v>1146</v>
      </c>
      <c r="H41" s="88">
        <f t="shared" si="0"/>
        <v>1089.3</v>
      </c>
      <c r="I41" s="96"/>
    </row>
    <row r="42" spans="1:9" ht="28.5">
      <c r="A42" s="23"/>
      <c r="B42" s="16" t="s">
        <v>492</v>
      </c>
      <c r="C42" s="8" t="s">
        <v>290</v>
      </c>
      <c r="D42" s="4" t="s">
        <v>264</v>
      </c>
      <c r="E42" s="4" t="s">
        <v>263</v>
      </c>
      <c r="F42" s="4"/>
      <c r="G42" s="89">
        <f t="shared" si="0"/>
        <v>1146</v>
      </c>
      <c r="H42" s="89">
        <f t="shared" si="0"/>
        <v>1089.3</v>
      </c>
      <c r="I42" s="96"/>
    </row>
    <row r="43" spans="1:9" ht="28.5">
      <c r="A43" s="23"/>
      <c r="B43" s="16" t="s">
        <v>599</v>
      </c>
      <c r="C43" s="8" t="s">
        <v>290</v>
      </c>
      <c r="D43" s="4" t="s">
        <v>264</v>
      </c>
      <c r="E43" s="4" t="s">
        <v>263</v>
      </c>
      <c r="F43" s="26" t="s">
        <v>526</v>
      </c>
      <c r="G43" s="100">
        <f>G44+G45</f>
        <v>1146</v>
      </c>
      <c r="H43" s="100">
        <f>H44+H45</f>
        <v>1089.3</v>
      </c>
      <c r="I43" s="96"/>
    </row>
    <row r="44" spans="1:9" ht="28.5">
      <c r="A44" s="23"/>
      <c r="B44" s="16" t="s">
        <v>440</v>
      </c>
      <c r="C44" s="8" t="s">
        <v>290</v>
      </c>
      <c r="D44" s="4" t="s">
        <v>264</v>
      </c>
      <c r="E44" s="4" t="s">
        <v>263</v>
      </c>
      <c r="F44" s="26" t="s">
        <v>437</v>
      </c>
      <c r="G44" s="100">
        <f>'Прилож №6'!G149</f>
        <v>61.1</v>
      </c>
      <c r="H44" s="83">
        <f>'Прилож №6'!I149</f>
        <v>40.8</v>
      </c>
      <c r="I44" s="96"/>
    </row>
    <row r="45" spans="1:9" ht="28.5">
      <c r="A45" s="23"/>
      <c r="B45" s="27" t="s">
        <v>431</v>
      </c>
      <c r="C45" s="28" t="s">
        <v>290</v>
      </c>
      <c r="D45" s="26" t="s">
        <v>264</v>
      </c>
      <c r="E45" s="26" t="s">
        <v>263</v>
      </c>
      <c r="F45" s="26" t="s">
        <v>421</v>
      </c>
      <c r="G45" s="100">
        <f>'Прилож №6'!G150</f>
        <v>1084.9</v>
      </c>
      <c r="H45" s="83">
        <f>'Прилож №6'!I150</f>
        <v>1048.5</v>
      </c>
      <c r="I45" s="96"/>
    </row>
    <row r="46" spans="1:9" ht="50.25" customHeight="1">
      <c r="A46" s="19">
        <v>4</v>
      </c>
      <c r="B46" s="15" t="str">
        <f>'Прилож №6'!A151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46" s="11" t="s">
        <v>344</v>
      </c>
      <c r="D46" s="3"/>
      <c r="E46" s="3"/>
      <c r="F46" s="3"/>
      <c r="G46" s="99">
        <f>G47</f>
        <v>2413.8</v>
      </c>
      <c r="H46" s="99">
        <f>H47</f>
        <v>2378.1</v>
      </c>
      <c r="I46" s="12">
        <f>H46/G46*100</f>
        <v>98.5210042257022</v>
      </c>
    </row>
    <row r="47" spans="1:9" ht="28.5">
      <c r="A47" s="23"/>
      <c r="B47" s="17" t="s">
        <v>491</v>
      </c>
      <c r="C47" s="14" t="s">
        <v>344</v>
      </c>
      <c r="D47" s="18" t="s">
        <v>264</v>
      </c>
      <c r="E47" s="18"/>
      <c r="F47" s="18"/>
      <c r="G47" s="88">
        <f>G48</f>
        <v>2413.8</v>
      </c>
      <c r="H47" s="88">
        <f>H48</f>
        <v>2378.1</v>
      </c>
      <c r="I47" s="96"/>
    </row>
    <row r="48" spans="1:9" ht="28.5">
      <c r="A48" s="23"/>
      <c r="B48" s="16" t="s">
        <v>492</v>
      </c>
      <c r="C48" s="8" t="s">
        <v>344</v>
      </c>
      <c r="D48" s="4" t="s">
        <v>264</v>
      </c>
      <c r="E48" s="4" t="s">
        <v>263</v>
      </c>
      <c r="F48" s="4"/>
      <c r="G48" s="89">
        <f>G49+G50</f>
        <v>2413.8</v>
      </c>
      <c r="H48" s="89">
        <f>H49+H50</f>
        <v>2378.1</v>
      </c>
      <c r="I48" s="96"/>
    </row>
    <row r="49" spans="1:9" ht="28.5">
      <c r="A49" s="23"/>
      <c r="B49" s="27" t="s">
        <v>431</v>
      </c>
      <c r="C49" s="28" t="s">
        <v>344</v>
      </c>
      <c r="D49" s="26" t="s">
        <v>264</v>
      </c>
      <c r="E49" s="26" t="s">
        <v>263</v>
      </c>
      <c r="F49" s="26" t="s">
        <v>421</v>
      </c>
      <c r="G49" s="100">
        <f>'Прилож №6'!G152</f>
        <v>2373.8</v>
      </c>
      <c r="H49" s="83">
        <f>'Прилож №6'!I152</f>
        <v>2338.1</v>
      </c>
      <c r="I49" s="96"/>
    </row>
    <row r="50" spans="1:9" ht="14.25">
      <c r="A50" s="23"/>
      <c r="B50" s="2" t="s">
        <v>86</v>
      </c>
      <c r="C50" s="28" t="s">
        <v>344</v>
      </c>
      <c r="D50" s="26" t="s">
        <v>264</v>
      </c>
      <c r="E50" s="26" t="s">
        <v>263</v>
      </c>
      <c r="F50" s="4" t="s">
        <v>85</v>
      </c>
      <c r="G50" s="100">
        <f>'Прилож №6'!G154</f>
        <v>40</v>
      </c>
      <c r="H50" s="100">
        <f>'Прилож №6'!I154</f>
        <v>40</v>
      </c>
      <c r="I50" s="96"/>
    </row>
    <row r="51" spans="1:9" ht="58.5" customHeight="1">
      <c r="A51" s="19">
        <v>5</v>
      </c>
      <c r="B51" s="15" t="str">
        <f>'Прилож №6'!A212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51" s="10" t="s">
        <v>493</v>
      </c>
      <c r="D51" s="3"/>
      <c r="E51" s="3"/>
      <c r="F51" s="3"/>
      <c r="G51" s="99">
        <f>G52</f>
        <v>1000</v>
      </c>
      <c r="H51" s="99">
        <f>H52</f>
        <v>1000</v>
      </c>
      <c r="I51" s="12">
        <f>H51/G51*100</f>
        <v>100</v>
      </c>
    </row>
    <row r="52" spans="1:9" ht="14.25">
      <c r="A52" s="23"/>
      <c r="B52" s="17" t="s">
        <v>180</v>
      </c>
      <c r="C52" s="14" t="s">
        <v>493</v>
      </c>
      <c r="D52" s="18" t="s">
        <v>261</v>
      </c>
      <c r="E52" s="18"/>
      <c r="F52" s="18"/>
      <c r="G52" s="88">
        <f>G53</f>
        <v>1000</v>
      </c>
      <c r="H52" s="88">
        <f>H53</f>
        <v>1000</v>
      </c>
      <c r="I52" s="96"/>
    </row>
    <row r="53" spans="1:9" ht="14.25">
      <c r="A53" s="23"/>
      <c r="B53" s="16" t="s">
        <v>181</v>
      </c>
      <c r="C53" s="8" t="s">
        <v>493</v>
      </c>
      <c r="D53" s="4" t="s">
        <v>261</v>
      </c>
      <c r="E53" s="4" t="s">
        <v>262</v>
      </c>
      <c r="F53" s="4"/>
      <c r="G53" s="89">
        <f>G55+G56</f>
        <v>1000</v>
      </c>
      <c r="H53" s="89">
        <f>H55+H56</f>
        <v>1000</v>
      </c>
      <c r="I53" s="96"/>
    </row>
    <row r="54" spans="1:9" ht="14.25" hidden="1">
      <c r="A54" s="23"/>
      <c r="B54" s="25" t="s">
        <v>494</v>
      </c>
      <c r="C54" s="8" t="s">
        <v>493</v>
      </c>
      <c r="D54" s="4" t="s">
        <v>261</v>
      </c>
      <c r="E54" s="4" t="s">
        <v>262</v>
      </c>
      <c r="F54" s="4" t="s">
        <v>195</v>
      </c>
      <c r="G54" s="89"/>
      <c r="H54" s="83"/>
      <c r="I54" s="96"/>
    </row>
    <row r="55" spans="1:9" ht="28.5">
      <c r="A55" s="23"/>
      <c r="B55" s="27" t="s">
        <v>431</v>
      </c>
      <c r="C55" s="28" t="s">
        <v>493</v>
      </c>
      <c r="D55" s="26" t="s">
        <v>261</v>
      </c>
      <c r="E55" s="26" t="s">
        <v>262</v>
      </c>
      <c r="F55" s="26" t="s">
        <v>421</v>
      </c>
      <c r="G55" s="100">
        <f>'Прилож №6'!G213</f>
        <v>250</v>
      </c>
      <c r="H55" s="83">
        <f>'Прилож №6'!I213</f>
        <v>250</v>
      </c>
      <c r="I55" s="96"/>
    </row>
    <row r="56" spans="1:9" ht="42.75">
      <c r="A56" s="23"/>
      <c r="B56" s="2" t="s">
        <v>480</v>
      </c>
      <c r="C56" s="28" t="s">
        <v>493</v>
      </c>
      <c r="D56" s="26" t="s">
        <v>261</v>
      </c>
      <c r="E56" s="26" t="s">
        <v>262</v>
      </c>
      <c r="F56" s="26" t="s">
        <v>460</v>
      </c>
      <c r="G56" s="100">
        <f>'Прилож №6'!G214</f>
        <v>750</v>
      </c>
      <c r="H56" s="83">
        <f>'Прилож №6'!I214</f>
        <v>750</v>
      </c>
      <c r="I56" s="96"/>
    </row>
    <row r="57" spans="1:9" ht="57" customHeight="1">
      <c r="A57" s="19">
        <v>6</v>
      </c>
      <c r="B57" s="15" t="str">
        <f>'Прилож №6'!A215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57" s="10" t="s">
        <v>291</v>
      </c>
      <c r="D57" s="3"/>
      <c r="E57" s="3"/>
      <c r="F57" s="3"/>
      <c r="G57" s="99">
        <f>G58+G61</f>
        <v>6414.4</v>
      </c>
      <c r="H57" s="99">
        <f>H58+H61</f>
        <v>6152.9</v>
      </c>
      <c r="I57" s="12">
        <f>H57/G57*100</f>
        <v>95.9232352207533</v>
      </c>
    </row>
    <row r="58" spans="1:9" ht="14.25">
      <c r="A58" s="23"/>
      <c r="B58" s="17" t="s">
        <v>180</v>
      </c>
      <c r="C58" s="14" t="s">
        <v>291</v>
      </c>
      <c r="D58" s="18" t="s">
        <v>261</v>
      </c>
      <c r="E58" s="18"/>
      <c r="F58" s="18"/>
      <c r="G58" s="88">
        <f>G59</f>
        <v>394</v>
      </c>
      <c r="H58" s="88">
        <f>H59</f>
        <v>330.6</v>
      </c>
      <c r="I58" s="96"/>
    </row>
    <row r="59" spans="1:9" ht="14.25">
      <c r="A59" s="23"/>
      <c r="B59" s="16" t="s">
        <v>181</v>
      </c>
      <c r="C59" s="8" t="s">
        <v>291</v>
      </c>
      <c r="D59" s="4" t="s">
        <v>261</v>
      </c>
      <c r="E59" s="4" t="s">
        <v>262</v>
      </c>
      <c r="F59" s="4"/>
      <c r="G59" s="89">
        <f>G60</f>
        <v>394</v>
      </c>
      <c r="H59" s="89">
        <f>H60</f>
        <v>330.6</v>
      </c>
      <c r="I59" s="96"/>
    </row>
    <row r="60" spans="1:9" ht="28.5">
      <c r="A60" s="23"/>
      <c r="B60" s="16" t="s">
        <v>431</v>
      </c>
      <c r="C60" s="8" t="s">
        <v>291</v>
      </c>
      <c r="D60" s="4" t="s">
        <v>261</v>
      </c>
      <c r="E60" s="4" t="s">
        <v>262</v>
      </c>
      <c r="F60" s="4" t="s">
        <v>421</v>
      </c>
      <c r="G60" s="89">
        <f>'Прилож №6'!G216</f>
        <v>394</v>
      </c>
      <c r="H60" s="83">
        <f>'Прилож №6'!I216</f>
        <v>330.6</v>
      </c>
      <c r="I60" s="96"/>
    </row>
    <row r="61" spans="1:9" ht="14.25">
      <c r="A61" s="23"/>
      <c r="B61" s="16" t="s">
        <v>144</v>
      </c>
      <c r="C61" s="8" t="s">
        <v>291</v>
      </c>
      <c r="D61" s="4" t="s">
        <v>266</v>
      </c>
      <c r="E61" s="4"/>
      <c r="F61" s="4"/>
      <c r="G61" s="89">
        <f>G62</f>
        <v>6020.4</v>
      </c>
      <c r="H61" s="89">
        <f>H62</f>
        <v>5822.299999999999</v>
      </c>
      <c r="I61" s="96"/>
    </row>
    <row r="62" spans="1:9" ht="17.25" customHeight="1">
      <c r="A62" s="23"/>
      <c r="B62" s="16" t="s">
        <v>222</v>
      </c>
      <c r="C62" s="8" t="s">
        <v>291</v>
      </c>
      <c r="D62" s="4" t="s">
        <v>266</v>
      </c>
      <c r="E62" s="4" t="s">
        <v>272</v>
      </c>
      <c r="F62" s="4"/>
      <c r="G62" s="89">
        <f>G63+G64+G67+G68</f>
        <v>6020.4</v>
      </c>
      <c r="H62" s="89">
        <f>H63+H64+H67+H68</f>
        <v>5822.299999999999</v>
      </c>
      <c r="I62" s="96"/>
    </row>
    <row r="63" spans="1:9" ht="27" customHeight="1">
      <c r="A63" s="23"/>
      <c r="B63" s="16" t="s">
        <v>431</v>
      </c>
      <c r="C63" s="8" t="s">
        <v>291</v>
      </c>
      <c r="D63" s="4" t="s">
        <v>266</v>
      </c>
      <c r="E63" s="4" t="s">
        <v>272</v>
      </c>
      <c r="F63" s="4" t="s">
        <v>421</v>
      </c>
      <c r="G63" s="89">
        <f>'Прилож №6'!G629</f>
        <v>849.1</v>
      </c>
      <c r="H63" s="83">
        <f>'Прилож №6'!I629</f>
        <v>834.1</v>
      </c>
      <c r="I63" s="96"/>
    </row>
    <row r="64" spans="1:9" ht="27" customHeight="1">
      <c r="A64" s="23"/>
      <c r="B64" s="27" t="s">
        <v>107</v>
      </c>
      <c r="C64" s="8" t="s">
        <v>291</v>
      </c>
      <c r="D64" s="4" t="s">
        <v>266</v>
      </c>
      <c r="E64" s="4" t="s">
        <v>272</v>
      </c>
      <c r="F64" s="4" t="s">
        <v>602</v>
      </c>
      <c r="G64" s="89">
        <f>G65+G66</f>
        <v>3010.4</v>
      </c>
      <c r="H64" s="89">
        <f>H65+H66</f>
        <v>2875.2</v>
      </c>
      <c r="I64" s="96"/>
    </row>
    <row r="65" spans="1:9" ht="35.25" customHeight="1">
      <c r="A65" s="23"/>
      <c r="B65" s="16" t="s">
        <v>459</v>
      </c>
      <c r="C65" s="8" t="s">
        <v>291</v>
      </c>
      <c r="D65" s="4" t="s">
        <v>266</v>
      </c>
      <c r="E65" s="4" t="s">
        <v>272</v>
      </c>
      <c r="F65" s="4" t="s">
        <v>458</v>
      </c>
      <c r="G65" s="89">
        <f>'Прилож №6'!G630</f>
        <v>579.4</v>
      </c>
      <c r="H65" s="83">
        <f>'Прилож №6'!I630</f>
        <v>444.20000000000005</v>
      </c>
      <c r="I65" s="96"/>
    </row>
    <row r="66" spans="1:9" ht="28.5">
      <c r="A66" s="23"/>
      <c r="B66" s="29" t="s">
        <v>457</v>
      </c>
      <c r="C66" s="8" t="s">
        <v>291</v>
      </c>
      <c r="D66" s="4" t="s">
        <v>266</v>
      </c>
      <c r="E66" s="4" t="s">
        <v>272</v>
      </c>
      <c r="F66" s="4" t="s">
        <v>456</v>
      </c>
      <c r="G66" s="89">
        <f>'Прилож №6'!G631</f>
        <v>2431</v>
      </c>
      <c r="H66" s="83">
        <f>'Прилож №6'!I631</f>
        <v>2431</v>
      </c>
      <c r="I66" s="96"/>
    </row>
    <row r="67" spans="1:9" ht="14.25">
      <c r="A67" s="23"/>
      <c r="B67" s="16" t="s">
        <v>423</v>
      </c>
      <c r="C67" s="8" t="s">
        <v>291</v>
      </c>
      <c r="D67" s="4" t="s">
        <v>266</v>
      </c>
      <c r="E67" s="4" t="s">
        <v>272</v>
      </c>
      <c r="F67" s="6" t="s">
        <v>422</v>
      </c>
      <c r="G67" s="89">
        <f>'Прилож №6'!G632</f>
        <v>1830.9</v>
      </c>
      <c r="H67" s="83">
        <f>'Прилож №6'!I632</f>
        <v>1830.1</v>
      </c>
      <c r="I67" s="96"/>
    </row>
    <row r="68" spans="1:9" ht="14.25">
      <c r="A68" s="23"/>
      <c r="B68" s="29" t="s">
        <v>428</v>
      </c>
      <c r="C68" s="8" t="s">
        <v>291</v>
      </c>
      <c r="D68" s="4" t="s">
        <v>266</v>
      </c>
      <c r="E68" s="4" t="s">
        <v>272</v>
      </c>
      <c r="F68" s="6" t="s">
        <v>427</v>
      </c>
      <c r="G68" s="89">
        <f>'Прилож №6'!G633</f>
        <v>330</v>
      </c>
      <c r="H68" s="83">
        <f>'Прилож №6'!I633</f>
        <v>282.9</v>
      </c>
      <c r="I68" s="96"/>
    </row>
    <row r="69" spans="1:9" ht="75.75" customHeight="1" hidden="1">
      <c r="A69" s="23">
        <v>7</v>
      </c>
      <c r="B69" s="30" t="e">
        <f>'Прилож №6'!#REF!</f>
        <v>#REF!</v>
      </c>
      <c r="C69" s="8" t="s">
        <v>292</v>
      </c>
      <c r="D69" s="4"/>
      <c r="E69" s="4"/>
      <c r="F69" s="4"/>
      <c r="G69" s="89">
        <f>G70</f>
        <v>0</v>
      </c>
      <c r="H69" s="83"/>
      <c r="I69" s="96"/>
    </row>
    <row r="70" spans="1:9" ht="14.25" hidden="1">
      <c r="A70" s="23"/>
      <c r="B70" s="16" t="s">
        <v>155</v>
      </c>
      <c r="C70" s="8" t="s">
        <v>292</v>
      </c>
      <c r="D70" s="4" t="s">
        <v>269</v>
      </c>
      <c r="E70" s="4"/>
      <c r="F70" s="4"/>
      <c r="G70" s="89">
        <f>G71</f>
        <v>0</v>
      </c>
      <c r="H70" s="83"/>
      <c r="I70" s="96"/>
    </row>
    <row r="71" spans="1:9" ht="14.25" hidden="1">
      <c r="A71" s="23"/>
      <c r="B71" s="25" t="s">
        <v>183</v>
      </c>
      <c r="C71" s="8" t="s">
        <v>292</v>
      </c>
      <c r="D71" s="4" t="s">
        <v>269</v>
      </c>
      <c r="E71" s="4" t="s">
        <v>259</v>
      </c>
      <c r="F71" s="4"/>
      <c r="G71" s="89">
        <f>G72</f>
        <v>0</v>
      </c>
      <c r="H71" s="83"/>
      <c r="I71" s="96"/>
    </row>
    <row r="72" spans="1:9" ht="28.5" hidden="1">
      <c r="A72" s="23"/>
      <c r="B72" s="31" t="s">
        <v>432</v>
      </c>
      <c r="C72" s="28" t="s">
        <v>292</v>
      </c>
      <c r="D72" s="26" t="s">
        <v>269</v>
      </c>
      <c r="E72" s="26" t="s">
        <v>259</v>
      </c>
      <c r="F72" s="26" t="s">
        <v>424</v>
      </c>
      <c r="G72" s="100"/>
      <c r="H72" s="83"/>
      <c r="I72" s="96"/>
    </row>
    <row r="73" spans="1:9" ht="60" customHeight="1">
      <c r="A73" s="19">
        <v>7</v>
      </c>
      <c r="B73" s="15" t="str">
        <f>'Прилож №6'!A236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73" s="11" t="s">
        <v>370</v>
      </c>
      <c r="D73" s="3"/>
      <c r="E73" s="3"/>
      <c r="F73" s="3"/>
      <c r="G73" s="99">
        <f aca="true" t="shared" si="1" ref="G73:H75">G74</f>
        <v>219.3</v>
      </c>
      <c r="H73" s="99">
        <f t="shared" si="1"/>
        <v>219.3</v>
      </c>
      <c r="I73" s="12">
        <f>H73/G73*100</f>
        <v>100</v>
      </c>
    </row>
    <row r="74" spans="1:9" ht="14.25">
      <c r="A74" s="23"/>
      <c r="B74" s="17" t="s">
        <v>155</v>
      </c>
      <c r="C74" s="14" t="s">
        <v>370</v>
      </c>
      <c r="D74" s="18" t="s">
        <v>269</v>
      </c>
      <c r="E74" s="18"/>
      <c r="F74" s="18"/>
      <c r="G74" s="88">
        <f t="shared" si="1"/>
        <v>219.3</v>
      </c>
      <c r="H74" s="88">
        <f t="shared" si="1"/>
        <v>219.3</v>
      </c>
      <c r="I74" s="96"/>
    </row>
    <row r="75" spans="1:9" ht="14.25">
      <c r="A75" s="23"/>
      <c r="B75" s="25" t="s">
        <v>183</v>
      </c>
      <c r="C75" s="8" t="s">
        <v>370</v>
      </c>
      <c r="D75" s="4" t="s">
        <v>269</v>
      </c>
      <c r="E75" s="4" t="s">
        <v>259</v>
      </c>
      <c r="F75" s="4"/>
      <c r="G75" s="89">
        <f t="shared" si="1"/>
        <v>219.3</v>
      </c>
      <c r="H75" s="89">
        <f t="shared" si="1"/>
        <v>219.3</v>
      </c>
      <c r="I75" s="96"/>
    </row>
    <row r="76" spans="1:9" ht="28.5">
      <c r="A76" s="23"/>
      <c r="B76" s="31" t="s">
        <v>432</v>
      </c>
      <c r="C76" s="28" t="s">
        <v>370</v>
      </c>
      <c r="D76" s="26" t="s">
        <v>269</v>
      </c>
      <c r="E76" s="26" t="s">
        <v>259</v>
      </c>
      <c r="F76" s="26" t="s">
        <v>424</v>
      </c>
      <c r="G76" s="100">
        <f>'Прилож №6'!G237</f>
        <v>219.3</v>
      </c>
      <c r="H76" s="83">
        <f>'Прилож №6'!I237</f>
        <v>219.3</v>
      </c>
      <c r="I76" s="96"/>
    </row>
    <row r="77" spans="1:9" ht="53.25" customHeight="1">
      <c r="A77" s="19">
        <v>8</v>
      </c>
      <c r="B77" s="15" t="str">
        <f>'Прилож №6'!A238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77" s="11" t="s">
        <v>350</v>
      </c>
      <c r="D77" s="3"/>
      <c r="E77" s="3"/>
      <c r="F77" s="3"/>
      <c r="G77" s="99">
        <f>G78</f>
        <v>6190.1</v>
      </c>
      <c r="H77" s="99">
        <f>H78</f>
        <v>6182.1</v>
      </c>
      <c r="I77" s="12">
        <f>H77/G77*100</f>
        <v>99.87076137703752</v>
      </c>
    </row>
    <row r="78" spans="1:9" ht="14.25">
      <c r="A78" s="23"/>
      <c r="B78" s="17" t="s">
        <v>155</v>
      </c>
      <c r="C78" s="14" t="s">
        <v>350</v>
      </c>
      <c r="D78" s="18" t="s">
        <v>269</v>
      </c>
      <c r="E78" s="18"/>
      <c r="F78" s="18"/>
      <c r="G78" s="88">
        <f>G79</f>
        <v>6190.1</v>
      </c>
      <c r="H78" s="88">
        <f>H79</f>
        <v>6182.1</v>
      </c>
      <c r="I78" s="96"/>
    </row>
    <row r="79" spans="1:9" ht="14.25">
      <c r="A79" s="23"/>
      <c r="B79" s="16" t="s">
        <v>183</v>
      </c>
      <c r="C79" s="8" t="s">
        <v>350</v>
      </c>
      <c r="D79" s="4" t="s">
        <v>269</v>
      </c>
      <c r="E79" s="4" t="s">
        <v>259</v>
      </c>
      <c r="F79" s="4"/>
      <c r="G79" s="89">
        <f>G80+G81</f>
        <v>6190.1</v>
      </c>
      <c r="H79" s="89">
        <f>H80+H81</f>
        <v>6182.1</v>
      </c>
      <c r="I79" s="96"/>
    </row>
    <row r="80" spans="1:9" ht="29.25" customHeight="1">
      <c r="A80" s="23"/>
      <c r="B80" s="16" t="str">
        <f>'Прилож №6'!A239</f>
        <v>Закупка товаров, работ, услуг в целях капитального ремонта муниципального имущества</v>
      </c>
      <c r="C80" s="8" t="s">
        <v>350</v>
      </c>
      <c r="D80" s="4" t="s">
        <v>269</v>
      </c>
      <c r="E80" s="4" t="s">
        <v>259</v>
      </c>
      <c r="F80" s="4" t="s">
        <v>424</v>
      </c>
      <c r="G80" s="89">
        <f>'Прилож №6'!G239</f>
        <v>8.5</v>
      </c>
      <c r="H80" s="83">
        <f>'Прилож №6'!I239</f>
        <v>8.5</v>
      </c>
      <c r="I80" s="96"/>
    </row>
    <row r="81" spans="1:9" ht="42.75">
      <c r="A81" s="23"/>
      <c r="B81" s="27" t="s">
        <v>461</v>
      </c>
      <c r="C81" s="28" t="s">
        <v>350</v>
      </c>
      <c r="D81" s="26" t="s">
        <v>269</v>
      </c>
      <c r="E81" s="26" t="s">
        <v>259</v>
      </c>
      <c r="F81" s="26" t="s">
        <v>460</v>
      </c>
      <c r="G81" s="100">
        <f>'Прилож №6'!G240</f>
        <v>6181.6</v>
      </c>
      <c r="H81" s="83">
        <f>'Прилож №6'!I240</f>
        <v>6173.6</v>
      </c>
      <c r="I81" s="96"/>
    </row>
    <row r="82" spans="1:9" ht="42.75" customHeight="1">
      <c r="A82" s="19">
        <v>9</v>
      </c>
      <c r="B82" s="15" t="str">
        <f>'Прилож №6'!A264</f>
        <v>Программа комплексного развития систем коммунальной инфраструктуры городского округа Долгопрудный на 2010-2015 годы</v>
      </c>
      <c r="C82" s="11" t="s">
        <v>348</v>
      </c>
      <c r="D82" s="3"/>
      <c r="E82" s="3"/>
      <c r="F82" s="3"/>
      <c r="G82" s="99">
        <f aca="true" t="shared" si="2" ref="G82:H84">G83</f>
        <v>23557.1</v>
      </c>
      <c r="H82" s="99">
        <f t="shared" si="2"/>
        <v>23557</v>
      </c>
      <c r="I82" s="12">
        <f>H82/G82*100</f>
        <v>99.99957549953093</v>
      </c>
    </row>
    <row r="83" spans="1:9" ht="14.25">
      <c r="A83" s="23"/>
      <c r="B83" s="17" t="s">
        <v>155</v>
      </c>
      <c r="C83" s="14" t="s">
        <v>348</v>
      </c>
      <c r="D83" s="18" t="s">
        <v>269</v>
      </c>
      <c r="E83" s="18"/>
      <c r="F83" s="18"/>
      <c r="G83" s="88">
        <f t="shared" si="2"/>
        <v>23557.1</v>
      </c>
      <c r="H83" s="88">
        <f t="shared" si="2"/>
        <v>23557</v>
      </c>
      <c r="I83" s="96"/>
    </row>
    <row r="84" spans="1:9" ht="14.25">
      <c r="A84" s="23"/>
      <c r="B84" s="16" t="s">
        <v>356</v>
      </c>
      <c r="C84" s="8" t="s">
        <v>348</v>
      </c>
      <c r="D84" s="4" t="s">
        <v>269</v>
      </c>
      <c r="E84" s="4" t="s">
        <v>260</v>
      </c>
      <c r="F84" s="4"/>
      <c r="G84" s="89">
        <f t="shared" si="2"/>
        <v>23557.1</v>
      </c>
      <c r="H84" s="89">
        <f t="shared" si="2"/>
        <v>23557</v>
      </c>
      <c r="I84" s="96"/>
    </row>
    <row r="85" spans="1:9" ht="28.5">
      <c r="A85" s="23"/>
      <c r="B85" s="29" t="s">
        <v>432</v>
      </c>
      <c r="C85" s="8" t="s">
        <v>348</v>
      </c>
      <c r="D85" s="4" t="s">
        <v>269</v>
      </c>
      <c r="E85" s="4" t="s">
        <v>260</v>
      </c>
      <c r="F85" s="4" t="s">
        <v>424</v>
      </c>
      <c r="G85" s="89">
        <f>'Прилож №6'!G265</f>
        <v>23557.1</v>
      </c>
      <c r="H85" s="83">
        <f>'Прилож №6'!I265</f>
        <v>23557</v>
      </c>
      <c r="I85" s="96"/>
    </row>
    <row r="86" spans="1:9" ht="44.25" customHeight="1">
      <c r="A86" s="19">
        <v>10</v>
      </c>
      <c r="B86" s="15" t="str">
        <f>'Прилож №6'!A285</f>
        <v>Долгосрочная целевая программа "Благоустройство территорий города Долгопрудного на период 2012-2014 годы"</v>
      </c>
      <c r="C86" s="11" t="s">
        <v>374</v>
      </c>
      <c r="D86" s="3"/>
      <c r="E86" s="3"/>
      <c r="F86" s="3"/>
      <c r="G86" s="99">
        <f aca="true" t="shared" si="3" ref="G86:H88">G87</f>
        <v>62356.6</v>
      </c>
      <c r="H86" s="99">
        <f t="shared" si="3"/>
        <v>59112</v>
      </c>
      <c r="I86" s="12">
        <f>H86/G86*100</f>
        <v>94.79670155204101</v>
      </c>
    </row>
    <row r="87" spans="1:9" ht="14.25">
      <c r="A87" s="23"/>
      <c r="B87" s="17" t="s">
        <v>155</v>
      </c>
      <c r="C87" s="14" t="s">
        <v>374</v>
      </c>
      <c r="D87" s="18" t="s">
        <v>269</v>
      </c>
      <c r="E87" s="18"/>
      <c r="F87" s="18"/>
      <c r="G87" s="88">
        <f t="shared" si="3"/>
        <v>62356.6</v>
      </c>
      <c r="H87" s="88">
        <f t="shared" si="3"/>
        <v>59112</v>
      </c>
      <c r="I87" s="96"/>
    </row>
    <row r="88" spans="1:9" ht="14.25">
      <c r="A88" s="23"/>
      <c r="B88" s="16" t="s">
        <v>226</v>
      </c>
      <c r="C88" s="8" t="s">
        <v>374</v>
      </c>
      <c r="D88" s="4" t="s">
        <v>269</v>
      </c>
      <c r="E88" s="4" t="s">
        <v>264</v>
      </c>
      <c r="F88" s="4"/>
      <c r="G88" s="89">
        <f t="shared" si="3"/>
        <v>62356.6</v>
      </c>
      <c r="H88" s="89">
        <f t="shared" si="3"/>
        <v>59112</v>
      </c>
      <c r="I88" s="96"/>
    </row>
    <row r="89" spans="1:9" ht="28.5">
      <c r="A89" s="23"/>
      <c r="B89" s="27" t="s">
        <v>431</v>
      </c>
      <c r="C89" s="28" t="s">
        <v>374</v>
      </c>
      <c r="D89" s="26" t="s">
        <v>269</v>
      </c>
      <c r="E89" s="26" t="s">
        <v>264</v>
      </c>
      <c r="F89" s="26" t="s">
        <v>421</v>
      </c>
      <c r="G89" s="100">
        <f>'Прилож №6'!G286</f>
        <v>62356.6</v>
      </c>
      <c r="H89" s="83">
        <f>'Прилож №6'!I286</f>
        <v>59112</v>
      </c>
      <c r="I89" s="96"/>
    </row>
    <row r="90" spans="1:9" ht="61.5" customHeight="1">
      <c r="A90" s="19">
        <v>11</v>
      </c>
      <c r="B90" s="15" t="str">
        <f>'Прилож №6'!A292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90" s="11" t="s">
        <v>375</v>
      </c>
      <c r="D90" s="3"/>
      <c r="E90" s="3"/>
      <c r="F90" s="3"/>
      <c r="G90" s="99">
        <f>G91</f>
        <v>3900</v>
      </c>
      <c r="H90" s="99">
        <f>H91</f>
        <v>3889.5</v>
      </c>
      <c r="I90" s="12">
        <f>H90/G90*100</f>
        <v>99.73076923076924</v>
      </c>
    </row>
    <row r="91" spans="1:9" ht="14.25">
      <c r="A91" s="23"/>
      <c r="B91" s="17" t="s">
        <v>170</v>
      </c>
      <c r="C91" s="14" t="s">
        <v>375</v>
      </c>
      <c r="D91" s="18" t="s">
        <v>272</v>
      </c>
      <c r="E91" s="18"/>
      <c r="F91" s="18"/>
      <c r="G91" s="88">
        <f>G92</f>
        <v>3900</v>
      </c>
      <c r="H91" s="88">
        <f>H92</f>
        <v>3889.5</v>
      </c>
      <c r="I91" s="96"/>
    </row>
    <row r="92" spans="1:9" ht="14.25">
      <c r="A92" s="23"/>
      <c r="B92" s="16" t="s">
        <v>171</v>
      </c>
      <c r="C92" s="8" t="s">
        <v>375</v>
      </c>
      <c r="D92" s="4" t="s">
        <v>272</v>
      </c>
      <c r="E92" s="4" t="s">
        <v>269</v>
      </c>
      <c r="F92" s="4"/>
      <c r="G92" s="89">
        <f>G93+G94</f>
        <v>3900</v>
      </c>
      <c r="H92" s="89">
        <f>H93+H94</f>
        <v>3889.5</v>
      </c>
      <c r="I92" s="96"/>
    </row>
    <row r="93" spans="1:9" ht="28.5">
      <c r="A93" s="23"/>
      <c r="B93" s="16" t="s">
        <v>431</v>
      </c>
      <c r="C93" s="8" t="s">
        <v>375</v>
      </c>
      <c r="D93" s="4" t="s">
        <v>272</v>
      </c>
      <c r="E93" s="4" t="s">
        <v>269</v>
      </c>
      <c r="F93" s="4" t="s">
        <v>421</v>
      </c>
      <c r="G93" s="89">
        <f>'Прилож №6'!G293</f>
        <v>1400</v>
      </c>
      <c r="H93" s="83">
        <f>'Прилож №6'!I293</f>
        <v>1389.5</v>
      </c>
      <c r="I93" s="96"/>
    </row>
    <row r="94" spans="1:9" ht="42.75">
      <c r="A94" s="23"/>
      <c r="B94" s="27" t="s">
        <v>461</v>
      </c>
      <c r="C94" s="28" t="s">
        <v>375</v>
      </c>
      <c r="D94" s="26" t="s">
        <v>272</v>
      </c>
      <c r="E94" s="26" t="s">
        <v>269</v>
      </c>
      <c r="F94" s="26" t="s">
        <v>460</v>
      </c>
      <c r="G94" s="100">
        <f>'Прилож №6'!G294</f>
        <v>2500</v>
      </c>
      <c r="H94" s="83">
        <f>'Прилож №6'!I294</f>
        <v>2500</v>
      </c>
      <c r="I94" s="96"/>
    </row>
    <row r="95" spans="1:9" ht="29.25" customHeight="1">
      <c r="A95" s="19">
        <v>12</v>
      </c>
      <c r="B95" s="32" t="str">
        <f>'Прилож №6'!A415</f>
        <v>Долгосрочная целевая  программа "Молодое поколение Долгопрудного на2011-2015 годы" </v>
      </c>
      <c r="C95" s="11" t="s">
        <v>376</v>
      </c>
      <c r="D95" s="3"/>
      <c r="E95" s="3"/>
      <c r="F95" s="3"/>
      <c r="G95" s="99">
        <f>G96+G100</f>
        <v>1875.1999999999998</v>
      </c>
      <c r="H95" s="99">
        <f>H96+H100</f>
        <v>1858.6999999999998</v>
      </c>
      <c r="I95" s="12">
        <f>H95/G95*100</f>
        <v>99.12009385665529</v>
      </c>
    </row>
    <row r="96" spans="1:9" ht="14.25">
      <c r="A96" s="23"/>
      <c r="B96" s="17" t="s">
        <v>145</v>
      </c>
      <c r="C96" s="14" t="s">
        <v>376</v>
      </c>
      <c r="D96" s="18" t="s">
        <v>267</v>
      </c>
      <c r="E96" s="18"/>
      <c r="F96" s="18"/>
      <c r="G96" s="88">
        <f>G97</f>
        <v>1595.1</v>
      </c>
      <c r="H96" s="88">
        <f>H97</f>
        <v>1578.6</v>
      </c>
      <c r="I96" s="96"/>
    </row>
    <row r="97" spans="1:9" ht="14.25">
      <c r="A97" s="23"/>
      <c r="B97" s="16" t="s">
        <v>159</v>
      </c>
      <c r="C97" s="8" t="s">
        <v>376</v>
      </c>
      <c r="D97" s="4" t="s">
        <v>267</v>
      </c>
      <c r="E97" s="4" t="s">
        <v>267</v>
      </c>
      <c r="F97" s="4"/>
      <c r="G97" s="89">
        <f>G98+G99</f>
        <v>1595.1</v>
      </c>
      <c r="H97" s="89">
        <f>H98+H99</f>
        <v>1578.6</v>
      </c>
      <c r="I97" s="96"/>
    </row>
    <row r="98" spans="1:9" ht="28.5">
      <c r="A98" s="23"/>
      <c r="B98" s="16" t="s">
        <v>431</v>
      </c>
      <c r="C98" s="8" t="s">
        <v>376</v>
      </c>
      <c r="D98" s="4" t="s">
        <v>267</v>
      </c>
      <c r="E98" s="4" t="s">
        <v>267</v>
      </c>
      <c r="F98" s="4" t="s">
        <v>421</v>
      </c>
      <c r="G98" s="89">
        <f>'Прилож №6'!G416</f>
        <v>146</v>
      </c>
      <c r="H98" s="83">
        <f>'Прилож №6'!I416</f>
        <v>146</v>
      </c>
      <c r="I98" s="96"/>
    </row>
    <row r="99" spans="1:9" ht="14.25">
      <c r="A99" s="23"/>
      <c r="B99" s="29" t="s">
        <v>399</v>
      </c>
      <c r="C99" s="8" t="s">
        <v>376</v>
      </c>
      <c r="D99" s="4" t="s">
        <v>267</v>
      </c>
      <c r="E99" s="4" t="s">
        <v>267</v>
      </c>
      <c r="F99" s="4" t="s">
        <v>398</v>
      </c>
      <c r="G99" s="89">
        <f>'Прилож №6'!G417</f>
        <v>1449.1</v>
      </c>
      <c r="H99" s="83">
        <f>'Прилож №6'!I417</f>
        <v>1432.6</v>
      </c>
      <c r="I99" s="96"/>
    </row>
    <row r="100" spans="1:9" ht="28.5">
      <c r="A100" s="23"/>
      <c r="B100" s="16" t="s">
        <v>489</v>
      </c>
      <c r="C100" s="8" t="s">
        <v>376</v>
      </c>
      <c r="D100" s="4" t="s">
        <v>268</v>
      </c>
      <c r="E100" s="4"/>
      <c r="F100" s="4"/>
      <c r="G100" s="89">
        <f>G101</f>
        <v>280.1</v>
      </c>
      <c r="H100" s="89">
        <f>H101</f>
        <v>280.1</v>
      </c>
      <c r="I100" s="96"/>
    </row>
    <row r="101" spans="1:9" ht="14.25">
      <c r="A101" s="23"/>
      <c r="B101" s="16" t="s">
        <v>163</v>
      </c>
      <c r="C101" s="8" t="s">
        <v>376</v>
      </c>
      <c r="D101" s="4" t="s">
        <v>268</v>
      </c>
      <c r="E101" s="4" t="s">
        <v>259</v>
      </c>
      <c r="F101" s="4"/>
      <c r="G101" s="89">
        <f>G102</f>
        <v>280.1</v>
      </c>
      <c r="H101" s="89">
        <f>H102</f>
        <v>280.1</v>
      </c>
      <c r="I101" s="96"/>
    </row>
    <row r="102" spans="1:9" ht="14.25">
      <c r="A102" s="23"/>
      <c r="B102" s="31" t="s">
        <v>399</v>
      </c>
      <c r="C102" s="28" t="s">
        <v>376</v>
      </c>
      <c r="D102" s="26" t="s">
        <v>268</v>
      </c>
      <c r="E102" s="26" t="s">
        <v>259</v>
      </c>
      <c r="F102" s="26" t="s">
        <v>398</v>
      </c>
      <c r="G102" s="100">
        <f>'Прилож №6'!G502</f>
        <v>280.1</v>
      </c>
      <c r="H102" s="83">
        <f>'Прилож №6'!I502</f>
        <v>280.1</v>
      </c>
      <c r="I102" s="96"/>
    </row>
    <row r="103" spans="1:9" ht="33.75" customHeight="1">
      <c r="A103" s="19">
        <v>13</v>
      </c>
      <c r="B103" s="15" t="str">
        <f>'Прилож №6'!A456</f>
        <v>Долгосрочная целевая программа   "Дети Долгопрудного " на 2012-2015 годы"</v>
      </c>
      <c r="C103" s="10" t="s">
        <v>377</v>
      </c>
      <c r="D103" s="3"/>
      <c r="E103" s="3"/>
      <c r="F103" s="3"/>
      <c r="G103" s="99">
        <f>G104</f>
        <v>243285.49999999997</v>
      </c>
      <c r="H103" s="99">
        <f>H104</f>
        <v>185127.5</v>
      </c>
      <c r="I103" s="12">
        <f>H103/G103*100</f>
        <v>76.09475287265374</v>
      </c>
    </row>
    <row r="104" spans="1:9" ht="14.25">
      <c r="A104" s="23"/>
      <c r="B104" s="17" t="s">
        <v>145</v>
      </c>
      <c r="C104" s="14" t="s">
        <v>377</v>
      </c>
      <c r="D104" s="18" t="s">
        <v>267</v>
      </c>
      <c r="E104" s="18"/>
      <c r="F104" s="18"/>
      <c r="G104" s="88">
        <f>G105+G112+G115+G119</f>
        <v>243285.49999999997</v>
      </c>
      <c r="H104" s="88">
        <f>H105+H112+H115+H119</f>
        <v>185127.5</v>
      </c>
      <c r="I104" s="96"/>
    </row>
    <row r="105" spans="1:9" ht="14.25">
      <c r="A105" s="23"/>
      <c r="B105" s="16" t="s">
        <v>146</v>
      </c>
      <c r="C105" s="8" t="s">
        <v>377</v>
      </c>
      <c r="D105" s="4" t="s">
        <v>267</v>
      </c>
      <c r="E105" s="4" t="s">
        <v>259</v>
      </c>
      <c r="F105" s="4"/>
      <c r="G105" s="89">
        <f>G106+G107+G108+G109+G110+G111</f>
        <v>185145.19999999998</v>
      </c>
      <c r="H105" s="89">
        <f>H106+H107+H108+H109+H110+H111</f>
        <v>127116</v>
      </c>
      <c r="I105" s="96"/>
    </row>
    <row r="106" spans="1:9" ht="28.5" hidden="1">
      <c r="A106" s="23"/>
      <c r="B106" s="16" t="str">
        <f>'Прилож №6'!A331</f>
        <v>Прочая закупка товаров, работ и услуг для муниципальных  нужд</v>
      </c>
      <c r="C106" s="8" t="s">
        <v>377</v>
      </c>
      <c r="D106" s="4" t="s">
        <v>267</v>
      </c>
      <c r="E106" s="4" t="s">
        <v>259</v>
      </c>
      <c r="F106" s="4" t="s">
        <v>421</v>
      </c>
      <c r="G106" s="89">
        <f>'Прилож №6'!G331</f>
        <v>0</v>
      </c>
      <c r="H106" s="89">
        <f>'Прилож №6'!I331</f>
        <v>0</v>
      </c>
      <c r="I106" s="96"/>
    </row>
    <row r="107" spans="1:9" ht="56.25" customHeight="1">
      <c r="A107" s="23"/>
      <c r="B107" s="16" t="str">
        <f>'Прилож №6'!A332</f>
        <v>Бюджетные инвестиции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v>
      </c>
      <c r="C107" s="8" t="s">
        <v>607</v>
      </c>
      <c r="D107" s="4" t="s">
        <v>267</v>
      </c>
      <c r="E107" s="4" t="s">
        <v>259</v>
      </c>
      <c r="F107" s="4" t="s">
        <v>227</v>
      </c>
      <c r="G107" s="89">
        <f>'Прилож №6'!G332+'Прилож №6'!G333</f>
        <v>101995.8</v>
      </c>
      <c r="H107" s="89">
        <f>'Прилож №6'!I332+'Прилож №6'!I333</f>
        <v>45469.7</v>
      </c>
      <c r="I107" s="96"/>
    </row>
    <row r="108" spans="1:9" ht="84" customHeight="1">
      <c r="A108" s="23"/>
      <c r="B108" s="16" t="str">
        <f>'Прилож №6'!A334</f>
        <v>Бюджетные инвестиции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108" s="8" t="s">
        <v>608</v>
      </c>
      <c r="D108" s="4" t="s">
        <v>267</v>
      </c>
      <c r="E108" s="4" t="s">
        <v>259</v>
      </c>
      <c r="F108" s="4" t="s">
        <v>227</v>
      </c>
      <c r="G108" s="89">
        <f>'Прилож №6'!G334</f>
        <v>2480.999999999971</v>
      </c>
      <c r="H108" s="89">
        <f>'Прилож №6'!I334</f>
        <v>1176</v>
      </c>
      <c r="I108" s="96"/>
    </row>
    <row r="109" spans="1:9" ht="14.25">
      <c r="A109" s="23"/>
      <c r="B109" s="29" t="s">
        <v>399</v>
      </c>
      <c r="C109" s="8" t="s">
        <v>377</v>
      </c>
      <c r="D109" s="4" t="s">
        <v>267</v>
      </c>
      <c r="E109" s="4" t="s">
        <v>259</v>
      </c>
      <c r="F109" s="4" t="s">
        <v>398</v>
      </c>
      <c r="G109" s="89">
        <f>'Прилож №6'!G335</f>
        <v>6819.7</v>
      </c>
      <c r="H109" s="83">
        <f>'Прилож №6'!I335</f>
        <v>6660.7</v>
      </c>
      <c r="I109" s="96"/>
    </row>
    <row r="110" spans="1:9" ht="14.25">
      <c r="A110" s="23"/>
      <c r="B110" s="29" t="s">
        <v>428</v>
      </c>
      <c r="C110" s="8" t="s">
        <v>377</v>
      </c>
      <c r="D110" s="4" t="s">
        <v>267</v>
      </c>
      <c r="E110" s="4" t="s">
        <v>259</v>
      </c>
      <c r="F110" s="4" t="s">
        <v>427</v>
      </c>
      <c r="G110" s="89">
        <f>'Прилож №6'!G336</f>
        <v>73351.1</v>
      </c>
      <c r="H110" s="83">
        <f>'Прилож №6'!I336</f>
        <v>73312</v>
      </c>
      <c r="I110" s="96"/>
    </row>
    <row r="111" spans="1:9" ht="28.5">
      <c r="A111" s="23"/>
      <c r="B111" s="16" t="s">
        <v>396</v>
      </c>
      <c r="C111" s="8" t="s">
        <v>377</v>
      </c>
      <c r="D111" s="4" t="s">
        <v>267</v>
      </c>
      <c r="E111" s="4" t="s">
        <v>259</v>
      </c>
      <c r="F111" s="4" t="s">
        <v>395</v>
      </c>
      <c r="G111" s="89">
        <f>'Прилож №6'!G337</f>
        <v>497.6</v>
      </c>
      <c r="H111" s="83">
        <f>'Прилож №6'!I337</f>
        <v>497.6</v>
      </c>
      <c r="I111" s="96"/>
    </row>
    <row r="112" spans="1:9" ht="14.25">
      <c r="A112" s="23"/>
      <c r="B112" s="16" t="s">
        <v>148</v>
      </c>
      <c r="C112" s="8" t="s">
        <v>377</v>
      </c>
      <c r="D112" s="4" t="s">
        <v>267</v>
      </c>
      <c r="E112" s="4" t="s">
        <v>260</v>
      </c>
      <c r="F112" s="4"/>
      <c r="G112" s="89">
        <f>G113+G114</f>
        <v>33080.7</v>
      </c>
      <c r="H112" s="89">
        <f>H113+H114</f>
        <v>32993</v>
      </c>
      <c r="I112" s="96"/>
    </row>
    <row r="113" spans="1:9" ht="14.25">
      <c r="A113" s="23"/>
      <c r="B113" s="29" t="s">
        <v>399</v>
      </c>
      <c r="C113" s="8" t="s">
        <v>377</v>
      </c>
      <c r="D113" s="4" t="s">
        <v>267</v>
      </c>
      <c r="E113" s="4" t="s">
        <v>260</v>
      </c>
      <c r="F113" s="6" t="s">
        <v>398</v>
      </c>
      <c r="G113" s="89">
        <f>'Прилож №6'!G392</f>
        <v>13475.5</v>
      </c>
      <c r="H113" s="83">
        <f>'Прилож №6'!I392</f>
        <v>13475.5</v>
      </c>
      <c r="I113" s="96"/>
    </row>
    <row r="114" spans="1:9" ht="15">
      <c r="A114" s="23"/>
      <c r="B114" s="29" t="s">
        <v>428</v>
      </c>
      <c r="C114" s="8" t="s">
        <v>377</v>
      </c>
      <c r="D114" s="4" t="s">
        <v>267</v>
      </c>
      <c r="E114" s="4" t="s">
        <v>260</v>
      </c>
      <c r="F114" s="6" t="s">
        <v>427</v>
      </c>
      <c r="G114" s="89">
        <f>'Прилож №6'!G393</f>
        <v>19605.2</v>
      </c>
      <c r="H114" s="83">
        <f>'Прилож №6'!I393</f>
        <v>19517.5</v>
      </c>
      <c r="I114" s="12">
        <f>H114/G114*100</f>
        <v>99.55266969987554</v>
      </c>
    </row>
    <row r="115" spans="1:9" ht="14.25">
      <c r="A115" s="23"/>
      <c r="B115" s="16" t="s">
        <v>159</v>
      </c>
      <c r="C115" s="8" t="s">
        <v>377</v>
      </c>
      <c r="D115" s="4" t="s">
        <v>267</v>
      </c>
      <c r="E115" s="4" t="s">
        <v>267</v>
      </c>
      <c r="F115" s="4"/>
      <c r="G115" s="89">
        <f>G116+G117+G118</f>
        <v>4693.9</v>
      </c>
      <c r="H115" s="89">
        <f>H116+H117+H118</f>
        <v>4667</v>
      </c>
      <c r="I115" s="96"/>
    </row>
    <row r="116" spans="1:9" ht="28.5">
      <c r="A116" s="23"/>
      <c r="B116" s="16" t="s">
        <v>431</v>
      </c>
      <c r="C116" s="8" t="s">
        <v>377</v>
      </c>
      <c r="D116" s="4" t="s">
        <v>267</v>
      </c>
      <c r="E116" s="4" t="s">
        <v>267</v>
      </c>
      <c r="F116" s="4" t="s">
        <v>421</v>
      </c>
      <c r="G116" s="89">
        <f>'Прилож №6'!G419</f>
        <v>225.7999999999999</v>
      </c>
      <c r="H116" s="89">
        <f>'Прилож №6'!I419</f>
        <v>225.8</v>
      </c>
      <c r="I116" s="96"/>
    </row>
    <row r="117" spans="1:9" ht="14.25">
      <c r="A117" s="23"/>
      <c r="B117" s="29" t="s">
        <v>399</v>
      </c>
      <c r="C117" s="4" t="s">
        <v>377</v>
      </c>
      <c r="D117" s="4" t="s">
        <v>267</v>
      </c>
      <c r="E117" s="4" t="s">
        <v>267</v>
      </c>
      <c r="F117" s="6" t="s">
        <v>398</v>
      </c>
      <c r="G117" s="89">
        <f>'Прилож №6'!G420</f>
        <v>848.8</v>
      </c>
      <c r="H117" s="83">
        <f>'Прилож №6'!I420</f>
        <v>827.1</v>
      </c>
      <c r="I117" s="96"/>
    </row>
    <row r="118" spans="1:9" ht="14.25">
      <c r="A118" s="23"/>
      <c r="B118" s="29" t="s">
        <v>428</v>
      </c>
      <c r="C118" s="4" t="s">
        <v>377</v>
      </c>
      <c r="D118" s="4" t="s">
        <v>267</v>
      </c>
      <c r="E118" s="4" t="s">
        <v>267</v>
      </c>
      <c r="F118" s="6" t="s">
        <v>427</v>
      </c>
      <c r="G118" s="89">
        <f>'Прилож №6'!G421</f>
        <v>3619.3</v>
      </c>
      <c r="H118" s="83">
        <f>'Прилож №6'!I421</f>
        <v>3614.1</v>
      </c>
      <c r="I118" s="96"/>
    </row>
    <row r="119" spans="1:9" ht="15">
      <c r="A119" s="23"/>
      <c r="B119" s="16" t="s">
        <v>162</v>
      </c>
      <c r="C119" s="8" t="s">
        <v>377</v>
      </c>
      <c r="D119" s="4" t="s">
        <v>267</v>
      </c>
      <c r="E119" s="4" t="s">
        <v>265</v>
      </c>
      <c r="F119" s="4"/>
      <c r="G119" s="89">
        <f>G121+G122+G120+G123</f>
        <v>20365.7</v>
      </c>
      <c r="H119" s="89">
        <f>H121+H122+H120+H123</f>
        <v>20351.5</v>
      </c>
      <c r="I119" s="12">
        <f>H119/G119*100</f>
        <v>99.93027492303234</v>
      </c>
    </row>
    <row r="120" spans="1:9" ht="28.5">
      <c r="A120" s="23"/>
      <c r="B120" s="16" t="s">
        <v>440</v>
      </c>
      <c r="C120" s="8" t="s">
        <v>377</v>
      </c>
      <c r="D120" s="4" t="s">
        <v>267</v>
      </c>
      <c r="E120" s="4" t="s">
        <v>265</v>
      </c>
      <c r="F120" s="4" t="s">
        <v>437</v>
      </c>
      <c r="G120" s="89">
        <f>'Прилож №6'!G457</f>
        <v>67.3</v>
      </c>
      <c r="H120" s="83">
        <f>'Прилож №6'!I457</f>
        <v>67.3</v>
      </c>
      <c r="I120" s="96"/>
    </row>
    <row r="121" spans="1:9" ht="28.5">
      <c r="A121" s="23"/>
      <c r="B121" s="16" t="s">
        <v>431</v>
      </c>
      <c r="C121" s="8" t="s">
        <v>377</v>
      </c>
      <c r="D121" s="4" t="s">
        <v>267</v>
      </c>
      <c r="E121" s="4" t="s">
        <v>265</v>
      </c>
      <c r="F121" s="4" t="s">
        <v>421</v>
      </c>
      <c r="G121" s="89">
        <f>'Прилож №6'!G458</f>
        <v>3116.3999999999996</v>
      </c>
      <c r="H121" s="83">
        <f>'Прилож №6'!I458</f>
        <v>3102.2</v>
      </c>
      <c r="I121" s="96"/>
    </row>
    <row r="122" spans="1:9" ht="28.5">
      <c r="A122" s="23"/>
      <c r="B122" s="7" t="s">
        <v>411</v>
      </c>
      <c r="C122" s="8" t="s">
        <v>377</v>
      </c>
      <c r="D122" s="4" t="s">
        <v>267</v>
      </c>
      <c r="E122" s="4" t="s">
        <v>265</v>
      </c>
      <c r="F122" s="4" t="s">
        <v>407</v>
      </c>
      <c r="G122" s="89">
        <f>'Прилож №6'!G459</f>
        <v>16502</v>
      </c>
      <c r="H122" s="83">
        <f>'Прилож №6'!I459</f>
        <v>16502</v>
      </c>
      <c r="I122" s="96"/>
    </row>
    <row r="123" spans="1:9" ht="14.25">
      <c r="A123" s="23"/>
      <c r="B123" s="29" t="s">
        <v>399</v>
      </c>
      <c r="C123" s="8" t="s">
        <v>377</v>
      </c>
      <c r="D123" s="4" t="s">
        <v>267</v>
      </c>
      <c r="E123" s="4" t="s">
        <v>265</v>
      </c>
      <c r="F123" s="4" t="s">
        <v>398</v>
      </c>
      <c r="G123" s="89">
        <f>'Прилож №6'!G460</f>
        <v>680</v>
      </c>
      <c r="H123" s="83">
        <f>'Прилож №6'!I460</f>
        <v>680</v>
      </c>
      <c r="I123" s="96"/>
    </row>
    <row r="124" spans="1:9" ht="40.5" customHeight="1">
      <c r="A124" s="19">
        <v>14</v>
      </c>
      <c r="B124" s="15" t="str">
        <f>'Прилож №6'!A524</f>
        <v>Долгосрочная целевая программа "Развитие сферы культуры на 2011-2015 годы"</v>
      </c>
      <c r="C124" s="11" t="s">
        <v>378</v>
      </c>
      <c r="D124" s="3"/>
      <c r="E124" s="3"/>
      <c r="F124" s="3"/>
      <c r="G124" s="99">
        <f>G125</f>
        <v>15273.1</v>
      </c>
      <c r="H124" s="99">
        <f>H125</f>
        <v>15225.9</v>
      </c>
      <c r="I124" s="12">
        <f>H124/G124*100</f>
        <v>99.69095992300187</v>
      </c>
    </row>
    <row r="125" spans="1:9" ht="28.5">
      <c r="A125" s="23"/>
      <c r="B125" s="17" t="s">
        <v>489</v>
      </c>
      <c r="C125" s="14" t="s">
        <v>378</v>
      </c>
      <c r="D125" s="18" t="s">
        <v>268</v>
      </c>
      <c r="E125" s="18"/>
      <c r="F125" s="18"/>
      <c r="G125" s="88">
        <f>G126</f>
        <v>15273.1</v>
      </c>
      <c r="H125" s="88">
        <f>H126</f>
        <v>15225.9</v>
      </c>
      <c r="I125" s="96"/>
    </row>
    <row r="126" spans="1:9" ht="14.25">
      <c r="A126" s="23"/>
      <c r="B126" s="16" t="s">
        <v>490</v>
      </c>
      <c r="C126" s="8" t="s">
        <v>378</v>
      </c>
      <c r="D126" s="4" t="s">
        <v>268</v>
      </c>
      <c r="E126" s="4" t="s">
        <v>261</v>
      </c>
      <c r="F126" s="4"/>
      <c r="G126" s="89">
        <f>G127+G128+G129+G130</f>
        <v>15273.1</v>
      </c>
      <c r="H126" s="89">
        <f>H127+H128+H129+H130</f>
        <v>15225.9</v>
      </c>
      <c r="I126" s="96"/>
    </row>
    <row r="127" spans="1:9" ht="28.5">
      <c r="A127" s="23"/>
      <c r="B127" s="16" t="s">
        <v>431</v>
      </c>
      <c r="C127" s="8" t="s">
        <v>378</v>
      </c>
      <c r="D127" s="4" t="s">
        <v>268</v>
      </c>
      <c r="E127" s="4" t="s">
        <v>261</v>
      </c>
      <c r="F127" s="4" t="s">
        <v>421</v>
      </c>
      <c r="G127" s="89">
        <f>'Прилож №6'!G525</f>
        <v>1439.3</v>
      </c>
      <c r="H127" s="83">
        <f>'Прилож №6'!I525</f>
        <v>1433.2</v>
      </c>
      <c r="I127" s="96"/>
    </row>
    <row r="128" spans="1:9" ht="35.25" customHeight="1">
      <c r="A128" s="23"/>
      <c r="B128" s="16" t="str">
        <f>'Прилож №6'!A526</f>
        <v>Пособия и компенсации гражданам и иные социальные выплаты, кроме публичных нормативных обязательств</v>
      </c>
      <c r="C128" s="8" t="s">
        <v>378</v>
      </c>
      <c r="D128" s="4" t="s">
        <v>268</v>
      </c>
      <c r="E128" s="4" t="s">
        <v>261</v>
      </c>
      <c r="F128" s="4" t="s">
        <v>407</v>
      </c>
      <c r="G128" s="89">
        <f>'Прилож №6'!G526</f>
        <v>14</v>
      </c>
      <c r="H128" s="83">
        <f>'Прилож №6'!I526</f>
        <v>13.7</v>
      </c>
      <c r="I128" s="96"/>
    </row>
    <row r="129" spans="1:9" ht="14.25">
      <c r="A129" s="23"/>
      <c r="B129" s="29" t="s">
        <v>399</v>
      </c>
      <c r="C129" s="8" t="s">
        <v>378</v>
      </c>
      <c r="D129" s="4" t="s">
        <v>268</v>
      </c>
      <c r="E129" s="4" t="s">
        <v>261</v>
      </c>
      <c r="F129" s="4" t="s">
        <v>398</v>
      </c>
      <c r="G129" s="89">
        <f>'Прилож №6'!G527</f>
        <v>3004.2</v>
      </c>
      <c r="H129" s="83">
        <f>'Прилож №6'!I527</f>
        <v>3004.2</v>
      </c>
      <c r="I129" s="96"/>
    </row>
    <row r="130" spans="1:9" ht="14.25">
      <c r="A130" s="23"/>
      <c r="B130" s="31" t="s">
        <v>428</v>
      </c>
      <c r="C130" s="28" t="s">
        <v>378</v>
      </c>
      <c r="D130" s="26" t="s">
        <v>268</v>
      </c>
      <c r="E130" s="26" t="s">
        <v>261</v>
      </c>
      <c r="F130" s="26" t="s">
        <v>427</v>
      </c>
      <c r="G130" s="100">
        <f>'Прилож №6'!G528</f>
        <v>10815.6</v>
      </c>
      <c r="H130" s="83">
        <f>'Прилож №6'!I528</f>
        <v>10774.8</v>
      </c>
      <c r="I130" s="96"/>
    </row>
    <row r="131" spans="1:9" ht="45">
      <c r="A131" s="19">
        <v>15</v>
      </c>
      <c r="B131" s="15" t="s">
        <v>503</v>
      </c>
      <c r="C131" s="11" t="s">
        <v>504</v>
      </c>
      <c r="D131" s="3"/>
      <c r="E131" s="3"/>
      <c r="F131" s="3"/>
      <c r="G131" s="99">
        <f aca="true" t="shared" si="4" ref="G131:H133">G132</f>
        <v>3368.5</v>
      </c>
      <c r="H131" s="99">
        <f t="shared" si="4"/>
        <v>3368.5</v>
      </c>
      <c r="I131" s="12">
        <f>H131/G131*100</f>
        <v>100</v>
      </c>
    </row>
    <row r="132" spans="1:9" ht="14.25">
      <c r="A132" s="23"/>
      <c r="B132" s="17" t="s">
        <v>144</v>
      </c>
      <c r="C132" s="14" t="s">
        <v>504</v>
      </c>
      <c r="D132" s="18" t="s">
        <v>266</v>
      </c>
      <c r="E132" s="18"/>
      <c r="F132" s="18"/>
      <c r="G132" s="88">
        <f t="shared" si="4"/>
        <v>3368.5</v>
      </c>
      <c r="H132" s="88">
        <f t="shared" si="4"/>
        <v>3368.5</v>
      </c>
      <c r="I132" s="96"/>
    </row>
    <row r="133" spans="1:9" ht="14.25">
      <c r="A133" s="23"/>
      <c r="B133" s="16" t="s">
        <v>201</v>
      </c>
      <c r="C133" s="8" t="s">
        <v>504</v>
      </c>
      <c r="D133" s="4" t="s">
        <v>266</v>
      </c>
      <c r="E133" s="4" t="s">
        <v>264</v>
      </c>
      <c r="F133" s="4"/>
      <c r="G133" s="89">
        <f t="shared" si="4"/>
        <v>3368.5</v>
      </c>
      <c r="H133" s="89">
        <f t="shared" si="4"/>
        <v>3368.5</v>
      </c>
      <c r="I133" s="96"/>
    </row>
    <row r="134" spans="1:9" ht="34.5" customHeight="1">
      <c r="A134" s="23"/>
      <c r="B134" s="2" t="s">
        <v>210</v>
      </c>
      <c r="C134" s="28" t="s">
        <v>504</v>
      </c>
      <c r="D134" s="26" t="s">
        <v>266</v>
      </c>
      <c r="E134" s="26" t="s">
        <v>264</v>
      </c>
      <c r="F134" s="26" t="s">
        <v>458</v>
      </c>
      <c r="G134" s="100">
        <f>'Прилож №6'!G613</f>
        <v>3368.5</v>
      </c>
      <c r="H134" s="83">
        <f>'Прилож №6'!I613</f>
        <v>3368.5</v>
      </c>
      <c r="I134" s="96"/>
    </row>
    <row r="135" spans="1:9" ht="45">
      <c r="A135" s="19">
        <v>16</v>
      </c>
      <c r="B135" s="15" t="str">
        <f>'Прилож №6'!A651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35" s="11" t="s">
        <v>379</v>
      </c>
      <c r="D135" s="3"/>
      <c r="E135" s="3"/>
      <c r="F135" s="3"/>
      <c r="G135" s="99">
        <f>G136</f>
        <v>103245.3</v>
      </c>
      <c r="H135" s="99">
        <f>H136</f>
        <v>102662.2</v>
      </c>
      <c r="I135" s="12">
        <f>H135/G135*100</f>
        <v>99.43522852856256</v>
      </c>
    </row>
    <row r="136" spans="1:9" ht="14.25">
      <c r="A136" s="23"/>
      <c r="B136" s="17" t="s">
        <v>283</v>
      </c>
      <c r="C136" s="14" t="s">
        <v>379</v>
      </c>
      <c r="D136" s="18" t="s">
        <v>327</v>
      </c>
      <c r="E136" s="18"/>
      <c r="F136" s="18"/>
      <c r="G136" s="88">
        <f>G137</f>
        <v>103245.3</v>
      </c>
      <c r="H136" s="88">
        <f>H137</f>
        <v>102662.2</v>
      </c>
      <c r="I136" s="96"/>
    </row>
    <row r="137" spans="1:9" ht="14.25">
      <c r="A137" s="23"/>
      <c r="B137" s="16" t="s">
        <v>328</v>
      </c>
      <c r="C137" s="8" t="s">
        <v>379</v>
      </c>
      <c r="D137" s="4" t="s">
        <v>327</v>
      </c>
      <c r="E137" s="4" t="s">
        <v>259</v>
      </c>
      <c r="F137" s="4"/>
      <c r="G137" s="89">
        <f>G138+G139+G140</f>
        <v>103245.3</v>
      </c>
      <c r="H137" s="89">
        <f>H138+H139+H140</f>
        <v>102662.2</v>
      </c>
      <c r="I137" s="96"/>
    </row>
    <row r="138" spans="1:9" ht="32.25" customHeight="1">
      <c r="A138" s="23"/>
      <c r="B138" s="16" t="s">
        <v>431</v>
      </c>
      <c r="C138" s="8" t="s">
        <v>379</v>
      </c>
      <c r="D138" s="4" t="s">
        <v>327</v>
      </c>
      <c r="E138" s="4" t="s">
        <v>259</v>
      </c>
      <c r="F138" s="4" t="s">
        <v>421</v>
      </c>
      <c r="G138" s="89">
        <f>'Прилож №6'!G652</f>
        <v>415</v>
      </c>
      <c r="H138" s="83">
        <f>'Прилож №6'!I652</f>
        <v>415</v>
      </c>
      <c r="I138" s="96"/>
    </row>
    <row r="139" spans="1:9" ht="99.75">
      <c r="A139" s="23"/>
      <c r="B139" s="16" t="s">
        <v>468</v>
      </c>
      <c r="C139" s="8" t="s">
        <v>609</v>
      </c>
      <c r="D139" s="4" t="s">
        <v>327</v>
      </c>
      <c r="E139" s="4" t="s">
        <v>259</v>
      </c>
      <c r="F139" s="4" t="s">
        <v>227</v>
      </c>
      <c r="G139" s="89">
        <f>'Прилож №6'!G653</f>
        <v>100560</v>
      </c>
      <c r="H139" s="83">
        <f>'Прилож №6'!I653</f>
        <v>99976.9</v>
      </c>
      <c r="I139" s="96"/>
    </row>
    <row r="140" spans="1:9" ht="14.25">
      <c r="A140" s="23"/>
      <c r="B140" s="31" t="s">
        <v>399</v>
      </c>
      <c r="C140" s="28" t="s">
        <v>379</v>
      </c>
      <c r="D140" s="26" t="s">
        <v>327</v>
      </c>
      <c r="E140" s="26" t="s">
        <v>259</v>
      </c>
      <c r="F140" s="26" t="s">
        <v>398</v>
      </c>
      <c r="G140" s="100">
        <f>'Прилож №6'!G654</f>
        <v>2270.3</v>
      </c>
      <c r="H140" s="83">
        <f>'Прилож №6'!I654</f>
        <v>2270.3</v>
      </c>
      <c r="I140" s="96"/>
    </row>
    <row r="141" spans="1:9" ht="108.75" customHeight="1">
      <c r="A141" s="19">
        <v>17</v>
      </c>
      <c r="B141" s="15" t="str">
        <f>'Прилож №6'!A287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41" s="11" t="s">
        <v>381</v>
      </c>
      <c r="D141" s="3"/>
      <c r="E141" s="3"/>
      <c r="F141" s="3"/>
      <c r="G141" s="99">
        <f aca="true" t="shared" si="5" ref="G141:H143">G142</f>
        <v>10200</v>
      </c>
      <c r="H141" s="99">
        <f t="shared" si="5"/>
        <v>10059.9</v>
      </c>
      <c r="I141" s="12">
        <f>H141/G141*100</f>
        <v>98.62647058823529</v>
      </c>
    </row>
    <row r="142" spans="1:9" ht="14.25">
      <c r="A142" s="23"/>
      <c r="B142" s="17" t="s">
        <v>155</v>
      </c>
      <c r="C142" s="14" t="s">
        <v>381</v>
      </c>
      <c r="D142" s="18" t="s">
        <v>269</v>
      </c>
      <c r="E142" s="18"/>
      <c r="F142" s="18"/>
      <c r="G142" s="88">
        <f t="shared" si="5"/>
        <v>10200</v>
      </c>
      <c r="H142" s="88">
        <f t="shared" si="5"/>
        <v>10059.9</v>
      </c>
      <c r="I142" s="96"/>
    </row>
    <row r="143" spans="1:9" ht="14.25">
      <c r="A143" s="23"/>
      <c r="B143" s="16" t="s">
        <v>226</v>
      </c>
      <c r="C143" s="8" t="s">
        <v>381</v>
      </c>
      <c r="D143" s="4" t="s">
        <v>269</v>
      </c>
      <c r="E143" s="4" t="s">
        <v>264</v>
      </c>
      <c r="F143" s="4"/>
      <c r="G143" s="89">
        <f t="shared" si="5"/>
        <v>10200</v>
      </c>
      <c r="H143" s="89">
        <f t="shared" si="5"/>
        <v>10059.9</v>
      </c>
      <c r="I143" s="96"/>
    </row>
    <row r="144" spans="1:9" ht="28.5">
      <c r="A144" s="23"/>
      <c r="B144" s="16" t="s">
        <v>431</v>
      </c>
      <c r="C144" s="8" t="s">
        <v>381</v>
      </c>
      <c r="D144" s="4" t="s">
        <v>269</v>
      </c>
      <c r="E144" s="4" t="s">
        <v>264</v>
      </c>
      <c r="F144" s="4" t="s">
        <v>421</v>
      </c>
      <c r="G144" s="89">
        <f>'Прилож №6'!G288</f>
        <v>10200</v>
      </c>
      <c r="H144" s="83">
        <f>'Прилож №6'!I288</f>
        <v>10059.9</v>
      </c>
      <c r="I144" s="96"/>
    </row>
    <row r="145" spans="1:9" ht="42.75" hidden="1">
      <c r="A145" s="23">
        <v>18</v>
      </c>
      <c r="B145" s="30" t="s">
        <v>506</v>
      </c>
      <c r="C145" s="8" t="s">
        <v>507</v>
      </c>
      <c r="D145" s="4"/>
      <c r="E145" s="4"/>
      <c r="F145" s="4"/>
      <c r="G145" s="89">
        <f>G146</f>
        <v>0</v>
      </c>
      <c r="H145" s="83"/>
      <c r="I145" s="96"/>
    </row>
    <row r="146" spans="1:9" ht="14.25" hidden="1">
      <c r="A146" s="23"/>
      <c r="B146" s="16" t="s">
        <v>155</v>
      </c>
      <c r="C146" s="8" t="s">
        <v>507</v>
      </c>
      <c r="D146" s="4" t="s">
        <v>269</v>
      </c>
      <c r="E146" s="4"/>
      <c r="F146" s="4"/>
      <c r="G146" s="89">
        <f>G147</f>
        <v>0</v>
      </c>
      <c r="H146" s="83"/>
      <c r="I146" s="96"/>
    </row>
    <row r="147" spans="1:9" ht="14.25" hidden="1">
      <c r="A147" s="23"/>
      <c r="B147" s="16" t="s">
        <v>183</v>
      </c>
      <c r="C147" s="8" t="s">
        <v>507</v>
      </c>
      <c r="D147" s="4" t="s">
        <v>269</v>
      </c>
      <c r="E147" s="4" t="s">
        <v>259</v>
      </c>
      <c r="F147" s="4"/>
      <c r="G147" s="89">
        <f>G148</f>
        <v>0</v>
      </c>
      <c r="H147" s="83"/>
      <c r="I147" s="96"/>
    </row>
    <row r="148" spans="1:9" ht="14.25" hidden="1">
      <c r="A148" s="23"/>
      <c r="B148" s="25" t="s">
        <v>495</v>
      </c>
      <c r="C148" s="8" t="s">
        <v>507</v>
      </c>
      <c r="D148" s="4" t="s">
        <v>269</v>
      </c>
      <c r="E148" s="4" t="s">
        <v>259</v>
      </c>
      <c r="F148" s="4"/>
      <c r="G148" s="89">
        <f>G149</f>
        <v>0</v>
      </c>
      <c r="H148" s="83"/>
      <c r="I148" s="96"/>
    </row>
    <row r="149" spans="1:9" ht="14.25" hidden="1">
      <c r="A149" s="23"/>
      <c r="B149" s="16" t="s">
        <v>354</v>
      </c>
      <c r="C149" s="8" t="s">
        <v>507</v>
      </c>
      <c r="D149" s="4" t="s">
        <v>269</v>
      </c>
      <c r="E149" s="4" t="s">
        <v>259</v>
      </c>
      <c r="F149" s="4"/>
      <c r="G149" s="89"/>
      <c r="H149" s="83"/>
      <c r="I149" s="96"/>
    </row>
    <row r="150" spans="1:9" ht="72.75" customHeight="1" hidden="1">
      <c r="A150" s="23">
        <v>19</v>
      </c>
      <c r="B150" s="30" t="s">
        <v>508</v>
      </c>
      <c r="C150" s="8" t="s">
        <v>509</v>
      </c>
      <c r="D150" s="4"/>
      <c r="E150" s="4"/>
      <c r="F150" s="4"/>
      <c r="G150" s="89">
        <f>G151</f>
        <v>0</v>
      </c>
      <c r="H150" s="83"/>
      <c r="I150" s="96"/>
    </row>
    <row r="151" spans="1:9" ht="14.25" hidden="1">
      <c r="A151" s="23"/>
      <c r="B151" s="16" t="s">
        <v>155</v>
      </c>
      <c r="C151" s="8" t="s">
        <v>509</v>
      </c>
      <c r="D151" s="4" t="s">
        <v>269</v>
      </c>
      <c r="E151" s="4"/>
      <c r="F151" s="4"/>
      <c r="G151" s="89">
        <f>G152</f>
        <v>0</v>
      </c>
      <c r="H151" s="83"/>
      <c r="I151" s="96"/>
    </row>
    <row r="152" spans="1:9" ht="14.25" hidden="1">
      <c r="A152" s="23"/>
      <c r="B152" s="16" t="s">
        <v>183</v>
      </c>
      <c r="C152" s="8" t="s">
        <v>509</v>
      </c>
      <c r="D152" s="4" t="s">
        <v>269</v>
      </c>
      <c r="E152" s="4" t="s">
        <v>259</v>
      </c>
      <c r="F152" s="4"/>
      <c r="G152" s="89">
        <f>G153</f>
        <v>0</v>
      </c>
      <c r="H152" s="83"/>
      <c r="I152" s="96"/>
    </row>
    <row r="153" spans="1:9" ht="14.25" hidden="1">
      <c r="A153" s="23"/>
      <c r="B153" s="25" t="s">
        <v>495</v>
      </c>
      <c r="C153" s="8" t="s">
        <v>509</v>
      </c>
      <c r="D153" s="4" t="s">
        <v>269</v>
      </c>
      <c r="E153" s="4" t="s">
        <v>259</v>
      </c>
      <c r="F153" s="4"/>
      <c r="G153" s="89">
        <f>G154</f>
        <v>0</v>
      </c>
      <c r="H153" s="83"/>
      <c r="I153" s="96"/>
    </row>
    <row r="154" spans="1:9" ht="14.25" hidden="1">
      <c r="A154" s="33"/>
      <c r="B154" s="27" t="s">
        <v>354</v>
      </c>
      <c r="C154" s="28" t="s">
        <v>509</v>
      </c>
      <c r="D154" s="26" t="s">
        <v>269</v>
      </c>
      <c r="E154" s="26" t="s">
        <v>259</v>
      </c>
      <c r="F154" s="26"/>
      <c r="G154" s="100"/>
      <c r="H154" s="83"/>
      <c r="I154" s="96"/>
    </row>
    <row r="155" spans="1:9" ht="84.75" customHeight="1">
      <c r="A155" s="19">
        <v>18</v>
      </c>
      <c r="B155" s="34" t="str">
        <f>'Прилож №6'!A241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55" s="11" t="s">
        <v>462</v>
      </c>
      <c r="D155" s="3"/>
      <c r="E155" s="3"/>
      <c r="F155" s="3"/>
      <c r="G155" s="99">
        <f>G156</f>
        <v>30789.7</v>
      </c>
      <c r="H155" s="99">
        <f>H156</f>
        <v>30731.300000000003</v>
      </c>
      <c r="I155" s="12">
        <f>H155/G155*100</f>
        <v>99.81032618050843</v>
      </c>
    </row>
    <row r="156" spans="1:9" ht="18.75" customHeight="1">
      <c r="A156" s="33"/>
      <c r="B156" s="17" t="s">
        <v>155</v>
      </c>
      <c r="C156" s="14" t="s">
        <v>462</v>
      </c>
      <c r="D156" s="18" t="s">
        <v>269</v>
      </c>
      <c r="E156" s="18"/>
      <c r="F156" s="18"/>
      <c r="G156" s="88">
        <f>G157</f>
        <v>30789.7</v>
      </c>
      <c r="H156" s="88">
        <f>H157</f>
        <v>30731.300000000003</v>
      </c>
      <c r="I156" s="96"/>
    </row>
    <row r="157" spans="1:9" ht="15.75" customHeight="1">
      <c r="A157" s="33"/>
      <c r="B157" s="16" t="s">
        <v>183</v>
      </c>
      <c r="C157" s="8" t="s">
        <v>462</v>
      </c>
      <c r="D157" s="4" t="s">
        <v>269</v>
      </c>
      <c r="E157" s="4" t="s">
        <v>259</v>
      </c>
      <c r="F157" s="4"/>
      <c r="G157" s="89">
        <f>G158+G159</f>
        <v>30789.7</v>
      </c>
      <c r="H157" s="89">
        <f>H158+H159</f>
        <v>30731.300000000003</v>
      </c>
      <c r="I157" s="96"/>
    </row>
    <row r="158" spans="1:9" ht="29.25" customHeight="1">
      <c r="A158" s="33"/>
      <c r="B158" s="29" t="s">
        <v>432</v>
      </c>
      <c r="C158" s="8" t="s">
        <v>462</v>
      </c>
      <c r="D158" s="4" t="s">
        <v>269</v>
      </c>
      <c r="E158" s="4" t="s">
        <v>259</v>
      </c>
      <c r="F158" s="4" t="s">
        <v>424</v>
      </c>
      <c r="G158" s="89">
        <f>'Прилож №6'!G242</f>
        <v>30682.8</v>
      </c>
      <c r="H158" s="83">
        <f>'Прилож №6'!I242</f>
        <v>30645.800000000003</v>
      </c>
      <c r="I158" s="96"/>
    </row>
    <row r="159" spans="1:9" ht="46.5" customHeight="1">
      <c r="A159" s="33"/>
      <c r="B159" s="31" t="str">
        <f>'Прилож №7'!A194</f>
        <v>Бюджетные инвестиции в объекты государственной собственности казенным учреждениям : ПИР на установку общедомовых приборов учета коммунальных услуг </v>
      </c>
      <c r="C159" s="28" t="s">
        <v>610</v>
      </c>
      <c r="D159" s="26" t="s">
        <v>269</v>
      </c>
      <c r="E159" s="26" t="s">
        <v>259</v>
      </c>
      <c r="F159" s="26" t="s">
        <v>227</v>
      </c>
      <c r="G159" s="100">
        <f>'Прилож №6'!G243</f>
        <v>106.9</v>
      </c>
      <c r="H159" s="83">
        <f>'Прилож №6'!I243</f>
        <v>85.5</v>
      </c>
      <c r="I159" s="96"/>
    </row>
    <row r="160" spans="1:9" ht="99.75" customHeight="1">
      <c r="A160" s="19">
        <v>19</v>
      </c>
      <c r="B160" s="34" t="str">
        <f>'Прилож №6'!A169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60" s="11" t="s">
        <v>463</v>
      </c>
      <c r="D160" s="3"/>
      <c r="E160" s="3"/>
      <c r="F160" s="3"/>
      <c r="G160" s="99">
        <f aca="true" t="shared" si="6" ref="G160:H162">G161</f>
        <v>41206.3</v>
      </c>
      <c r="H160" s="99">
        <f t="shared" si="6"/>
        <v>40722.8</v>
      </c>
      <c r="I160" s="12">
        <f>H160/G160*100</f>
        <v>98.8266357328855</v>
      </c>
    </row>
    <row r="161" spans="1:9" ht="17.25" customHeight="1">
      <c r="A161" s="33"/>
      <c r="B161" s="17" t="s">
        <v>180</v>
      </c>
      <c r="C161" s="14" t="s">
        <v>463</v>
      </c>
      <c r="D161" s="18" t="s">
        <v>261</v>
      </c>
      <c r="E161" s="18"/>
      <c r="F161" s="18"/>
      <c r="G161" s="88">
        <f t="shared" si="6"/>
        <v>41206.3</v>
      </c>
      <c r="H161" s="88">
        <f t="shared" si="6"/>
        <v>40722.8</v>
      </c>
      <c r="I161" s="96"/>
    </row>
    <row r="162" spans="1:9" ht="13.5" customHeight="1">
      <c r="A162" s="33"/>
      <c r="B162" s="16" t="s">
        <v>203</v>
      </c>
      <c r="C162" s="8" t="s">
        <v>463</v>
      </c>
      <c r="D162" s="4" t="s">
        <v>261</v>
      </c>
      <c r="E162" s="4" t="s">
        <v>265</v>
      </c>
      <c r="F162" s="4"/>
      <c r="G162" s="89">
        <f t="shared" si="6"/>
        <v>41206.3</v>
      </c>
      <c r="H162" s="89">
        <f t="shared" si="6"/>
        <v>40722.8</v>
      </c>
      <c r="I162" s="96"/>
    </row>
    <row r="163" spans="1:9" ht="27.75" customHeight="1">
      <c r="A163" s="33"/>
      <c r="B163" s="27" t="s">
        <v>431</v>
      </c>
      <c r="C163" s="28" t="s">
        <v>463</v>
      </c>
      <c r="D163" s="26" t="s">
        <v>261</v>
      </c>
      <c r="E163" s="26" t="s">
        <v>265</v>
      </c>
      <c r="F163" s="26" t="s">
        <v>421</v>
      </c>
      <c r="G163" s="100">
        <f>'Прилож №6'!G170</f>
        <v>41206.3</v>
      </c>
      <c r="H163" s="83">
        <f>'Прилож №6'!I170</f>
        <v>40722.8</v>
      </c>
      <c r="I163" s="96"/>
    </row>
    <row r="164" spans="1:9" ht="122.25" customHeight="1">
      <c r="A164" s="19">
        <v>20</v>
      </c>
      <c r="B164" s="34" t="s">
        <v>496</v>
      </c>
      <c r="C164" s="11" t="s">
        <v>497</v>
      </c>
      <c r="D164" s="3"/>
      <c r="E164" s="3"/>
      <c r="F164" s="3"/>
      <c r="G164" s="99">
        <f>G165</f>
        <v>7002.1</v>
      </c>
      <c r="H164" s="99">
        <f>H165</f>
        <v>6117.4</v>
      </c>
      <c r="I164" s="12">
        <f>H164/G164*100</f>
        <v>87.36521900572684</v>
      </c>
    </row>
    <row r="165" spans="1:9" ht="20.25" customHeight="1">
      <c r="A165" s="33"/>
      <c r="B165" s="17" t="s">
        <v>180</v>
      </c>
      <c r="C165" s="14" t="s">
        <v>497</v>
      </c>
      <c r="D165" s="18" t="s">
        <v>261</v>
      </c>
      <c r="E165" s="18"/>
      <c r="F165" s="18"/>
      <c r="G165" s="88">
        <f>G166+G169</f>
        <v>7002.1</v>
      </c>
      <c r="H165" s="88">
        <f>H166+H169</f>
        <v>6117.4</v>
      </c>
      <c r="I165" s="96"/>
    </row>
    <row r="166" spans="1:9" ht="18" customHeight="1">
      <c r="A166" s="33"/>
      <c r="B166" s="16" t="s">
        <v>40</v>
      </c>
      <c r="C166" s="8" t="s">
        <v>497</v>
      </c>
      <c r="D166" s="4" t="s">
        <v>261</v>
      </c>
      <c r="E166" s="4" t="s">
        <v>266</v>
      </c>
      <c r="F166" s="4"/>
      <c r="G166" s="89">
        <f>G167+G168</f>
        <v>3983.9</v>
      </c>
      <c r="H166" s="89">
        <f>H167+H168</f>
        <v>3099.2</v>
      </c>
      <c r="I166" s="96"/>
    </row>
    <row r="167" spans="1:9" ht="32.25" customHeight="1">
      <c r="A167" s="33"/>
      <c r="B167" s="16" t="s">
        <v>440</v>
      </c>
      <c r="C167" s="8" t="s">
        <v>497</v>
      </c>
      <c r="D167" s="4" t="s">
        <v>261</v>
      </c>
      <c r="E167" s="4" t="s">
        <v>266</v>
      </c>
      <c r="F167" s="4" t="s">
        <v>437</v>
      </c>
      <c r="G167" s="89">
        <f>'Прилож №6'!G184</f>
        <v>2484.3</v>
      </c>
      <c r="H167" s="83">
        <f>'Прилож №6'!I184</f>
        <v>1658.2</v>
      </c>
      <c r="I167" s="96"/>
    </row>
    <row r="168" spans="1:9" ht="32.25" customHeight="1">
      <c r="A168" s="33"/>
      <c r="B168" s="27" t="s">
        <v>431</v>
      </c>
      <c r="C168" s="8" t="s">
        <v>497</v>
      </c>
      <c r="D168" s="4" t="s">
        <v>261</v>
      </c>
      <c r="E168" s="4" t="s">
        <v>266</v>
      </c>
      <c r="F168" s="4" t="s">
        <v>421</v>
      </c>
      <c r="G168" s="89">
        <f>'Прилож №6'!G185</f>
        <v>1499.6</v>
      </c>
      <c r="H168" s="83">
        <f>'Прилож №6'!I185</f>
        <v>1441</v>
      </c>
      <c r="I168" s="96"/>
    </row>
    <row r="169" spans="1:9" ht="21" customHeight="1">
      <c r="A169" s="33"/>
      <c r="B169" s="16" t="s">
        <v>181</v>
      </c>
      <c r="C169" s="8" t="s">
        <v>497</v>
      </c>
      <c r="D169" s="4" t="s">
        <v>261</v>
      </c>
      <c r="E169" s="4" t="s">
        <v>262</v>
      </c>
      <c r="F169" s="4"/>
      <c r="G169" s="89">
        <f>G170</f>
        <v>3018.2000000000003</v>
      </c>
      <c r="H169" s="89">
        <f>H170</f>
        <v>3018.2</v>
      </c>
      <c r="I169" s="96"/>
    </row>
    <row r="170" spans="1:9" ht="31.5" customHeight="1">
      <c r="A170" s="33"/>
      <c r="B170" s="27" t="s">
        <v>431</v>
      </c>
      <c r="C170" s="28" t="s">
        <v>497</v>
      </c>
      <c r="D170" s="26" t="s">
        <v>261</v>
      </c>
      <c r="E170" s="26" t="s">
        <v>262</v>
      </c>
      <c r="F170" s="26" t="s">
        <v>421</v>
      </c>
      <c r="G170" s="100">
        <f>'Прилож №6'!G218</f>
        <v>3018.2000000000003</v>
      </c>
      <c r="H170" s="100">
        <f>'Прилож №6'!I218</f>
        <v>3018.2</v>
      </c>
      <c r="I170" s="96"/>
    </row>
    <row r="171" spans="1:9" ht="60">
      <c r="A171" s="35">
        <v>21</v>
      </c>
      <c r="B171" s="34" t="s">
        <v>208</v>
      </c>
      <c r="C171" s="11" t="s">
        <v>209</v>
      </c>
      <c r="D171" s="3"/>
      <c r="E171" s="3"/>
      <c r="F171" s="3"/>
      <c r="G171" s="99">
        <f aca="true" t="shared" si="7" ref="G171:H173">G172</f>
        <v>1531</v>
      </c>
      <c r="H171" s="99">
        <f t="shared" si="7"/>
        <v>1531</v>
      </c>
      <c r="I171" s="12">
        <f>H171/G171*100</f>
        <v>100</v>
      </c>
    </row>
    <row r="172" spans="1:9" ht="15" customHeight="1">
      <c r="A172" s="33"/>
      <c r="B172" s="17" t="s">
        <v>180</v>
      </c>
      <c r="C172" s="14" t="s">
        <v>209</v>
      </c>
      <c r="D172" s="18" t="s">
        <v>261</v>
      </c>
      <c r="E172" s="18"/>
      <c r="F172" s="18"/>
      <c r="G172" s="88">
        <f t="shared" si="7"/>
        <v>1531</v>
      </c>
      <c r="H172" s="88">
        <f t="shared" si="7"/>
        <v>1531</v>
      </c>
      <c r="I172" s="96"/>
    </row>
    <row r="173" spans="1:9" ht="18.75" customHeight="1">
      <c r="A173" s="33"/>
      <c r="B173" s="16" t="s">
        <v>40</v>
      </c>
      <c r="C173" s="8" t="s">
        <v>209</v>
      </c>
      <c r="D173" s="4" t="s">
        <v>261</v>
      </c>
      <c r="E173" s="4" t="s">
        <v>266</v>
      </c>
      <c r="F173" s="4"/>
      <c r="G173" s="89">
        <f t="shared" si="7"/>
        <v>1531</v>
      </c>
      <c r="H173" s="89">
        <f t="shared" si="7"/>
        <v>1531</v>
      </c>
      <c r="I173" s="96"/>
    </row>
    <row r="174" spans="1:9" ht="29.25" customHeight="1">
      <c r="A174" s="33"/>
      <c r="B174" s="16" t="s">
        <v>440</v>
      </c>
      <c r="C174" s="8" t="s">
        <v>209</v>
      </c>
      <c r="D174" s="4" t="s">
        <v>261</v>
      </c>
      <c r="E174" s="4" t="s">
        <v>266</v>
      </c>
      <c r="F174" s="4" t="s">
        <v>437</v>
      </c>
      <c r="G174" s="89">
        <f>'Прилож №6'!G186</f>
        <v>1531</v>
      </c>
      <c r="H174" s="89">
        <f>'Прилож №6'!I187</f>
        <v>1531</v>
      </c>
      <c r="I174" s="96"/>
    </row>
    <row r="175" spans="1:10" ht="15.75" thickBot="1">
      <c r="A175" s="36"/>
      <c r="B175" s="37" t="s">
        <v>510</v>
      </c>
      <c r="C175" s="38" t="s">
        <v>173</v>
      </c>
      <c r="D175" s="39" t="s">
        <v>221</v>
      </c>
      <c r="E175" s="39" t="s">
        <v>221</v>
      </c>
      <c r="F175" s="39" t="s">
        <v>175</v>
      </c>
      <c r="G175" s="82">
        <f>G11+G33+G40+G46+G57+G69+G73+G77+G82+G86+G90+G95+G103+G124+G135+G141+G155+G160+G51+G131+G164+G171</f>
        <v>613959.4</v>
      </c>
      <c r="H175" s="82">
        <f>H11+H33+H40+H46+H57+H69+H73+H77+H82+H86+H90+H95+H103+H124+H135+H141+H155+H160+H51+H131+H164+H171</f>
        <v>546255.4000000001</v>
      </c>
      <c r="I175" s="97">
        <f>H175/G175*100</f>
        <v>88.97256072632817</v>
      </c>
      <c r="J175" s="40"/>
    </row>
  </sheetData>
  <sheetProtection/>
  <mergeCells count="11">
    <mergeCell ref="B9:G9"/>
    <mergeCell ref="C1:G1"/>
    <mergeCell ref="C3:G3"/>
    <mergeCell ref="C4:G4"/>
    <mergeCell ref="C5:G5"/>
    <mergeCell ref="C6:G6"/>
    <mergeCell ref="C7:G7"/>
    <mergeCell ref="H1:I1"/>
    <mergeCell ref="C2:I2"/>
    <mergeCell ref="H3:I3"/>
    <mergeCell ref="A8:I8"/>
  </mergeCells>
  <printOptions/>
  <pageMargins left="0.36" right="0.25" top="0.52" bottom="0.38" header="0.17" footer="0.23"/>
  <pageSetup fitToHeight="40" fitToWidth="1"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2014-06-18T10:33:44Z</cp:lastPrinted>
  <dcterms:created xsi:type="dcterms:W3CDTF">2002-11-11T07:39:40Z</dcterms:created>
  <dcterms:modified xsi:type="dcterms:W3CDTF">2014-06-20T11:58:56Z</dcterms:modified>
  <cp:category/>
  <cp:version/>
  <cp:contentType/>
  <cp:contentStatus/>
</cp:coreProperties>
</file>