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8540" windowHeight="13050" activeTab="1"/>
  </bookViews>
  <sheets>
    <sheet name="Прилож №6" sheetId="1" r:id="rId1"/>
    <sheet name="Прилож №8" sheetId="2" r:id="rId2"/>
  </sheets>
  <definedNames/>
  <calcPr fullCalcOnLoad="1"/>
</workbook>
</file>

<file path=xl/sharedStrings.xml><?xml version="1.0" encoding="utf-8"?>
<sst xmlns="http://schemas.openxmlformats.org/spreadsheetml/2006/main" count="5262" uniqueCount="510">
  <si>
    <t>Наименование</t>
  </si>
  <si>
    <t>Социальная политика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</si>
  <si>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</si>
  <si>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</si>
  <si>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</si>
  <si>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</si>
  <si>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Музеи и постоянные выставки</t>
  </si>
  <si>
    <t>Библиотеки</t>
  </si>
  <si>
    <t>Резервные фонды</t>
  </si>
  <si>
    <t>Общегосударственные  вопросы</t>
  </si>
  <si>
    <t>Руководство и управление в сфере установленных  функций</t>
  </si>
  <si>
    <t>070 00 00</t>
  </si>
  <si>
    <t>Жилищно-коммунальное хозяйство</t>
  </si>
  <si>
    <t>420 00 00</t>
  </si>
  <si>
    <t>Обеспечение деятельности подведомственных учреждений</t>
  </si>
  <si>
    <t>421 00 00</t>
  </si>
  <si>
    <t>Молодежная политика и оздоровление детей</t>
  </si>
  <si>
    <t>Учреждения по внешкольной работе с детьми</t>
  </si>
  <si>
    <t>423 00 00</t>
  </si>
  <si>
    <t>Другие вопросы в области образования</t>
  </si>
  <si>
    <t>Культура</t>
  </si>
  <si>
    <t>440 00 00</t>
  </si>
  <si>
    <t>441 00 00</t>
  </si>
  <si>
    <t>442 00 00</t>
  </si>
  <si>
    <t>443 00 00</t>
  </si>
  <si>
    <t>452 00 00</t>
  </si>
  <si>
    <t>470 00 00</t>
  </si>
  <si>
    <t>Охрана окружающей среды</t>
  </si>
  <si>
    <t>Другие вопросы в области охраны окружающей среды</t>
  </si>
  <si>
    <t>Пенсионное обеспечение</t>
  </si>
  <si>
    <t>000 00 00</t>
  </si>
  <si>
    <t>0000</t>
  </si>
  <si>
    <t>000</t>
  </si>
  <si>
    <t>Центральный аппарат</t>
  </si>
  <si>
    <t>005</t>
  </si>
  <si>
    <t>КОД</t>
  </si>
  <si>
    <t>Раздел</t>
  </si>
  <si>
    <t>Всего</t>
  </si>
  <si>
    <t>Национальная экономика</t>
  </si>
  <si>
    <t>Другие вопросы в области национальной экономики</t>
  </si>
  <si>
    <t>003</t>
  </si>
  <si>
    <t>Жилищное хозяйство</t>
  </si>
  <si>
    <t>ИТОГО РАСХОДОВ</t>
  </si>
  <si>
    <t>ВСЕГО РАСХОДОВ</t>
  </si>
  <si>
    <t>340 00 00</t>
  </si>
  <si>
    <t>Выполнение других обязательств государства</t>
  </si>
  <si>
    <t>Центры спортивной подготовки (сборные команды)</t>
  </si>
  <si>
    <t>482 00 00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</si>
  <si>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</si>
  <si>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</si>
  <si>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</si>
  <si>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209 00 00</t>
  </si>
  <si>
    <t>001</t>
  </si>
  <si>
    <t>006</t>
  </si>
  <si>
    <t>505 00 00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</si>
  <si>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</si>
  <si>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</si>
  <si>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</si>
  <si>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520 00 00</t>
  </si>
  <si>
    <t>Социальное обеспечение населения</t>
  </si>
  <si>
    <t>Транспорт</t>
  </si>
  <si>
    <t>Дорожное хозяйство</t>
  </si>
  <si>
    <t>Функционирование  высшего должностного лица субъекта РФ и органа местного самоуправления</t>
  </si>
  <si>
    <t>Функционирование Правительства РФ, высших органов исполнительной власти субъектов РФ, местных администраций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</si>
  <si>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</si>
  <si>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</si>
  <si>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</si>
  <si>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 в области национальной экономики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</si>
  <si>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</si>
  <si>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Театры, цирки, концертные и другие организации исполнительских искусств</t>
  </si>
  <si>
    <t>Доплаты к пенсиям государственных служащих субъектов РФ и муниципальных служащих</t>
  </si>
  <si>
    <t>Национальная безопасность и правоохранительная деятельность</t>
  </si>
  <si>
    <t>Дворцы и  дома культуры, другие учреждения культуры и средств массовой информации</t>
  </si>
  <si>
    <t xml:space="preserve">                                     Наименование</t>
  </si>
  <si>
    <t>Иные безвозмездные и безвозвратные перечисления</t>
  </si>
  <si>
    <t>00</t>
  </si>
  <si>
    <t>013</t>
  </si>
  <si>
    <t>Другие вопросы в области социальной политики</t>
  </si>
  <si>
    <t>Целевые программы муниципальных образований</t>
  </si>
  <si>
    <t>795 00 00</t>
  </si>
  <si>
    <t>Благоустройство</t>
  </si>
  <si>
    <t>092 00 00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</si>
  <si>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</si>
  <si>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</si>
  <si>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</si>
  <si>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Предоставление гражданам субсидий на оплату жилого помещения и коммунальных услуг</t>
  </si>
  <si>
    <t>Выполнение функций органами местного самоуправления</t>
  </si>
  <si>
    <t xml:space="preserve">Руководство и управление в сфере установленных  функций </t>
  </si>
  <si>
    <t>Прочие расходы</t>
  </si>
  <si>
    <t>Резервные фонды исполнительных органов местного самоуправления</t>
  </si>
  <si>
    <t>070 05 00</t>
  </si>
  <si>
    <t>209 01 00</t>
  </si>
  <si>
    <t>Социальные выплаты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</si>
  <si>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</si>
  <si>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</si>
  <si>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Выполнение функций бюджетными учреждениями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</si>
  <si>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</si>
  <si>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</si>
  <si>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</si>
  <si>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</si>
  <si>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Расходы на организацию транспортного обслуживания населения автомобильным транспортом(пригородное и межмуниципальное сообщение)</t>
  </si>
  <si>
    <t>303 02 01</t>
  </si>
  <si>
    <t>Рз</t>
  </si>
  <si>
    <t>ПР</t>
  </si>
  <si>
    <t>ЦСР</t>
  </si>
  <si>
    <t>ВР</t>
  </si>
  <si>
    <t>01</t>
  </si>
  <si>
    <t>02</t>
  </si>
  <si>
    <t>04</t>
  </si>
  <si>
    <t>12</t>
  </si>
  <si>
    <t>14</t>
  </si>
  <si>
    <t>03</t>
  </si>
  <si>
    <t>09</t>
  </si>
  <si>
    <t>10</t>
  </si>
  <si>
    <t>07</t>
  </si>
  <si>
    <t>08</t>
  </si>
  <si>
    <t>315 00 00</t>
  </si>
  <si>
    <t>Поддержка дорожного хозяйства</t>
  </si>
  <si>
    <t>315 02 00</t>
  </si>
  <si>
    <t>05</t>
  </si>
  <si>
    <t>092 03 00</t>
  </si>
  <si>
    <t>Реализация государственных функций , связанных с общегосударственным управлением</t>
  </si>
  <si>
    <t>06</t>
  </si>
  <si>
    <t>Бюджетные инвестиции</t>
  </si>
  <si>
    <t>420 99 00</t>
  </si>
  <si>
    <t>421 99 00</t>
  </si>
  <si>
    <t>423 99 00</t>
  </si>
  <si>
    <t>452 99 00</t>
  </si>
  <si>
    <t>795 01 00</t>
  </si>
  <si>
    <t>440 99 00</t>
  </si>
  <si>
    <t>441 99 00</t>
  </si>
  <si>
    <t>442 99 00</t>
  </si>
  <si>
    <t>443 99 00</t>
  </si>
  <si>
    <t>Стационарная медицинская помощь</t>
  </si>
  <si>
    <t>Физическая культура и спорт</t>
  </si>
  <si>
    <t>482 99 00</t>
  </si>
  <si>
    <t>Доплаты к пенсиям, дополнительное пенсионное обеспечение</t>
  </si>
  <si>
    <t>491 00 00</t>
  </si>
  <si>
    <t>491 01 00</t>
  </si>
  <si>
    <t>Социальная помощь</t>
  </si>
  <si>
    <t>Оказание других видов социальной помощи</t>
  </si>
  <si>
    <t>505 48 00</t>
  </si>
  <si>
    <t>795 03 00</t>
  </si>
  <si>
    <t>795 06 00</t>
  </si>
  <si>
    <t>Выполнение функций  органами местного самоуправления</t>
  </si>
  <si>
    <t>795 07 00</t>
  </si>
  <si>
    <t>(тыс. руб.)</t>
  </si>
  <si>
    <t>Субсидии некоммерческим организациям</t>
  </si>
  <si>
    <t>019</t>
  </si>
  <si>
    <t>002 00 00</t>
  </si>
  <si>
    <t>500</t>
  </si>
  <si>
    <t>002 04 00</t>
  </si>
  <si>
    <t>520 18 00</t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</si>
  <si>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самоуправления</t>
  </si>
  <si>
    <t>Глава муниципального  образования</t>
  </si>
  <si>
    <t>002 03 00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</si>
  <si>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</si>
  <si>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Председатель  представительного органа муниципального образования</t>
  </si>
  <si>
    <t>002 11 00</t>
  </si>
  <si>
    <t>Содержание автомобильных дорог  общего пользования</t>
  </si>
  <si>
    <t>315 02 03</t>
  </si>
  <si>
    <t>Охрана семьи и детства</t>
  </si>
  <si>
    <t>Родильные дома</t>
  </si>
  <si>
    <t>476 00 00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</si>
  <si>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</si>
  <si>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</si>
  <si>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</si>
  <si>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</si>
  <si>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</si>
  <si>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</si>
  <si>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</si>
  <si>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</si>
  <si>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</si>
  <si>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Мероприятия по землеустройству и землепользованию</t>
  </si>
  <si>
    <t>340 03 00</t>
  </si>
  <si>
    <t>Обеспечение деятельности финансовых, налоговых и таможенных органов и органов финансового(финансово-бюджетного) надзора</t>
  </si>
  <si>
    <t>431 99 00</t>
  </si>
  <si>
    <t>505 86 00</t>
  </si>
  <si>
    <t>Расходы на организацию транспортного обслуживания населения автомобильным транспортом (пригородное и межмуниципальное сообщение)</t>
  </si>
  <si>
    <t>Ежемесячное денежное вознаграждение за классное руководство</t>
  </si>
  <si>
    <t>520 09 00</t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</si>
  <si>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самоуправлении</t>
  </si>
  <si>
    <t>Школы-детские сады, школы начальные, неполные средние и средние</t>
  </si>
  <si>
    <t>Больницы, клиники, госпитали, медико-санитарные части</t>
  </si>
  <si>
    <t>Подраздел</t>
  </si>
  <si>
    <t>Целевая статья</t>
  </si>
  <si>
    <t>в том числе за счет межбюджетных трансфертов</t>
  </si>
  <si>
    <t>13</t>
  </si>
  <si>
    <t>11</t>
  </si>
  <si>
    <t xml:space="preserve">Физическая культура </t>
  </si>
  <si>
    <t>Здравоохранение</t>
  </si>
  <si>
    <t xml:space="preserve">Здравоохранение </t>
  </si>
  <si>
    <t>Физическая культура</t>
  </si>
  <si>
    <t>901</t>
  </si>
  <si>
    <t>902</t>
  </si>
  <si>
    <t>903</t>
  </si>
  <si>
    <t>905</t>
  </si>
  <si>
    <t>906</t>
  </si>
  <si>
    <t>907</t>
  </si>
  <si>
    <t>795 04 00</t>
  </si>
  <si>
    <t>Долгосрочная городская  целевая программа "Развитие муниципальной службы в городе Долгопрудном на период 2011-2013 гг"</t>
  </si>
  <si>
    <t>Долгосрочная городская целевая программа "Развитие и поддержка территориального общественного самоуправления, взаимодействия органов местного самоуправления с общественными объединениями социальной направленности, предприятиями, организациями, учреждениями города Долгопрудного на 2010-2012 годы"</t>
  </si>
  <si>
    <t>795 02 00</t>
  </si>
  <si>
    <t>Долгосрочная городская целевая программа "Развитие субъектов малого и среднего предпринимательства в городе Долгопрудном Московской области на период 2010-2012 годы"</t>
  </si>
  <si>
    <t>Муниципальная долгосрочная целевая программа по замене аварийного внутридомового газового оборудования в многоквартирных жилых домах г.Долгопрудного на 2009-2015 гг.</t>
  </si>
  <si>
    <t>795 10 00</t>
  </si>
  <si>
    <t>Долгосрочная целевая программа "Развитие сферы культуры на 2011-2015 годы"</t>
  </si>
  <si>
    <t>795 09 00</t>
  </si>
  <si>
    <t xml:space="preserve">Долгосрочная целевая  программа "Молодое поколение Долгопрудного на2011-2015 годы" </t>
  </si>
  <si>
    <t>795 05 00</t>
  </si>
  <si>
    <t>Долгосрочная городская  целевая программа "Развитие муниципальной службы в городе Долгопрудном на период 2011-2013 годов"</t>
  </si>
  <si>
    <t xml:space="preserve"> и видам расходов  бюджета</t>
  </si>
  <si>
    <t>092 99 00</t>
  </si>
  <si>
    <t>Администрация города Долгопрудного</t>
  </si>
  <si>
    <t>440 02 00</t>
  </si>
  <si>
    <t>Культура и кинематография</t>
  </si>
  <si>
    <t>Коммунальное хозяйство</t>
  </si>
  <si>
    <t>Другие вопросы в области культуры</t>
  </si>
  <si>
    <t>522 00 00</t>
  </si>
  <si>
    <t>Региональные целевые программы</t>
  </si>
  <si>
    <t xml:space="preserve">Руководство и управление в сфере установленных функций </t>
  </si>
  <si>
    <t>001 00 00</t>
  </si>
  <si>
    <t>Долгосрочная городская  целевая программа "Развитие муниципальной службы в городе Долгопрудном на период 2011-2013 гг."</t>
  </si>
  <si>
    <t>Учреждения культуры и мероприятия в сфере культуры и кинематографии</t>
  </si>
  <si>
    <t>Расходы бюджета городского округа Долгопрудный  на 2012  г. по разделам, подразделам, целевым статьям</t>
  </si>
  <si>
    <t>Ведомственная структура расходов  бюджета городского округа Долгопрудный  на   2012 год</t>
  </si>
  <si>
    <t>001 36 00</t>
  </si>
  <si>
    <t>Осуществление первичного воинского учета на территориях, где отсутствуют военные комиссариаты</t>
  </si>
  <si>
    <t>Уплата налога на имущество организаций и земельного налога</t>
  </si>
  <si>
    <t>002 95 00</t>
  </si>
  <si>
    <t>420 95 00</t>
  </si>
  <si>
    <t>421 95 00</t>
  </si>
  <si>
    <t>423 95 00</t>
  </si>
  <si>
    <t>452 95 00</t>
  </si>
  <si>
    <t>482 95 00</t>
  </si>
  <si>
    <t>442 95 00</t>
  </si>
  <si>
    <t>440 95 00</t>
  </si>
  <si>
    <t>441 95 00</t>
  </si>
  <si>
    <t>443 95 00</t>
  </si>
  <si>
    <t>431 95 00</t>
  </si>
  <si>
    <t>Долгосрочная целевая программа г.Долгопрудного "Дополнительные меры социальной поддержки отдельных категорий граждан г.Долгопрудного на 2012-2015 г.г."</t>
  </si>
  <si>
    <r>
      <t xml:space="preserve"> Долгосрочная целевая программа "Муниципальная программа " Развитие физической культуры и спорта в г.Долгопрудном на 2012-2015 годы"" </t>
    </r>
    <r>
      <rPr>
        <b/>
        <sz val="11"/>
        <rFont val="Arial"/>
        <family val="2"/>
      </rPr>
      <t>"Спортивный комплекс стадиона "Салют" (реконструкция под многофункциональный спортивный комплекс со строительством здания физкультурно-оздоровительного комплекса), расположенный по адресу: Московская область, г.Долгопрудный, пересечение ул.Летная и ул.Дирижабельная"</t>
    </r>
  </si>
  <si>
    <t xml:space="preserve"> Долгосрочная целевая программа "Муниципальная программа " Развитие физической культуры и спорта в г.Долгопрудном на 2012-2015 годы"" </t>
  </si>
  <si>
    <t>Долгосрочная целевая программа "Защита населения и территории города Долгопрудный от чрезвычайных ситуаций на 2012-2015 годы"</t>
  </si>
  <si>
    <t>Программа комплексного развития систем коммунальной инфраструктуры городского округа Долгопрудный на 2010-2015 годы</t>
  </si>
  <si>
    <t xml:space="preserve">Бюджетные инвестиции </t>
  </si>
  <si>
    <t>904</t>
  </si>
  <si>
    <t>Долгосрочная целевая программа "Муниципальная целевая программа по выполнению работ по капитальному ремонту многоквартирных жилых домов г.Долгопрудного в части замены лифтов на 2012-2016 гг"</t>
  </si>
  <si>
    <t>Муниципальная долгосрочная целевая программа по проведению капитального ремонта в многоквартирных жилых домах города Долгопрудного на 2012-2016 годы</t>
  </si>
  <si>
    <t>795 08 00</t>
  </si>
  <si>
    <t>Долгосрочная целевая программа "Благоустройство территорий города Долгопрудного на период 2012-2014 годы"</t>
  </si>
  <si>
    <t>Долгосрочная целевая программа "Обеспечение жильем молодых семей в г.Долгопрудный на 2009-2012 годы"</t>
  </si>
  <si>
    <t>Долгосрочная целевая Программа "Профилактика преступлений и иных правонарушений на территории городского округа Долгопрудный на 2012-2014 годы"</t>
  </si>
  <si>
    <t>795 11 00</t>
  </si>
  <si>
    <t>795 12 00</t>
  </si>
  <si>
    <t>795 13 00</t>
  </si>
  <si>
    <t>795 14 00</t>
  </si>
  <si>
    <t>795 15 00</t>
  </si>
  <si>
    <t>795 16 00</t>
  </si>
  <si>
    <t>795 17 00</t>
  </si>
  <si>
    <t>Долгосрочная целевая программа   "Дети Долгопрудного " на 2012-2015 годы"</t>
  </si>
  <si>
    <t>Субсидии юридическим лицам</t>
  </si>
  <si>
    <t>795 18 00</t>
  </si>
  <si>
    <r>
      <t>Бюджетные инвестиции</t>
    </r>
    <r>
      <rPr>
        <sz val="11"/>
        <rFont val="Arial"/>
        <family val="2"/>
      </rPr>
      <t xml:space="preserve"> (Реконструкция канализационного коллектора от КНС "Хлебниково" до КНС "Котово" г.Долгопрудный, Переходы через Клязьменское водохранилище и ул.Московская (ПИР и СМР)</t>
    </r>
  </si>
  <si>
    <t>Управление администрации г. Долгопрудного по работе в микрорайонах Шереметьевский, Хлебниково, Павельцево</t>
  </si>
  <si>
    <t>Финансовое управление администрации                         г.Долгопрудного</t>
  </si>
  <si>
    <t xml:space="preserve"> Представительный орган муниципального образования города Долгопрудный Московской области - Совет депутатов города Долгопрудного Московской области</t>
  </si>
  <si>
    <t>Управление культуры, физической культуры, спорта, туризма и молодежной политики администрации города Долгопрудного</t>
  </si>
  <si>
    <t xml:space="preserve">    Управление образования   Администрации г.Долгопрудного</t>
  </si>
  <si>
    <t>522 15 01</t>
  </si>
  <si>
    <t>522 15 00</t>
  </si>
  <si>
    <t>Долгосрочная целевая программа Московской области "Жилище" на 2009-2012 годы"</t>
  </si>
  <si>
    <t>Подпрограмма "Модернизация объектов коммунальной инфраструктуры"</t>
  </si>
  <si>
    <r>
      <t>Бюджетные инвестиции</t>
    </r>
    <r>
      <rPr>
        <sz val="11"/>
        <rFont val="Arial"/>
        <family val="2"/>
      </rPr>
      <t xml:space="preserve"> (Реконструкция канализационного коллектора от КНС "Хлебниково" до КНС "Котово" г.Долгопрудный, Переходы через Клязьменское водохранилище и ул.Московская </t>
    </r>
  </si>
  <si>
    <t>Обеспечение мероприятий по капитальному ремонту многоквартирных домов</t>
  </si>
  <si>
    <t>098 00 00</t>
  </si>
  <si>
    <t>Обеспечение мероприятий по капитальному ремонту многоквартирных домов 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</si>
  <si>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</si>
  <si>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</si>
  <si>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 xml:space="preserve">098 01 01 </t>
  </si>
  <si>
    <t>Обеспечение мероприятий по капитальному ремонту многоквартирных домов за счет средств бюджетов</t>
  </si>
  <si>
    <t>098 02 00</t>
  </si>
  <si>
    <t>098 02 01</t>
  </si>
  <si>
    <t>522 26 01</t>
  </si>
  <si>
    <t>Капитальные  вложения в объекты дошкольного образования</t>
  </si>
  <si>
    <t>Капитальные  вложения в объекты общественной инфраструктуры</t>
  </si>
  <si>
    <t>522 15 07</t>
  </si>
  <si>
    <r>
      <t>Бюджетные инвестиции</t>
    </r>
    <r>
      <rPr>
        <sz val="11"/>
        <rFont val="Arial"/>
        <family val="2"/>
      </rPr>
      <t xml:space="preserve">  </t>
    </r>
  </si>
  <si>
    <r>
      <t xml:space="preserve">Бюджетные инвестиции </t>
    </r>
    <r>
      <rPr>
        <b/>
        <sz val="11"/>
        <rFont val="Arial"/>
        <family val="2"/>
      </rPr>
      <t xml:space="preserve"> "Спортивный комплекс стадиона "Салют" (реконструкция под многофункциональный спортивный комплекс со строительством здания физкультурно-оздоровительного комплекса), расположенный по адресу: Московская область, г.Долгопрудный, пересечение ул.Летная и ул.Дирижабельная"</t>
    </r>
  </si>
  <si>
    <t xml:space="preserve">Муниципальная комплексная программа "Дети Долгопрудного " на 2011-2012 годы" </t>
  </si>
  <si>
    <t>350 00 00</t>
  </si>
  <si>
    <t>Поддержка жилищного хозяйства</t>
  </si>
  <si>
    <t xml:space="preserve">Мероприятия в области жилищного хозяйства </t>
  </si>
  <si>
    <t>350 03 00</t>
  </si>
  <si>
    <t>Муниципальная целевая программа в области энергосбережения и повышения энергетической эффективности в городе Долгопрудном на 2010-2020 годы</t>
  </si>
  <si>
    <t>795 19 00</t>
  </si>
  <si>
    <t>Муниципальная адресная долгосрочная целевая программа поэтапного перехода на отпуск коммунальных ресурсов потребителям в соответствии с показаниями коллективных (общедомовых) приборов учета в многоквартирных жилых домах на территории г.Долгопрудного на 2009-2011 годы</t>
  </si>
  <si>
    <t>795 20 00</t>
  </si>
  <si>
    <t>Долгосрочная целевая программа г.Долгопрудного "Муниципальная целевая программа мероприятий по охране окружающей среды на территории города Долгопрудного на 2012-2016 годы"</t>
  </si>
  <si>
    <t>Осуществление полномочий органов местного самоуправления</t>
  </si>
  <si>
    <t>120</t>
  </si>
  <si>
    <t xml:space="preserve">к решению Совета депутатов </t>
  </si>
  <si>
    <t>436 00 00</t>
  </si>
  <si>
    <t>610</t>
  </si>
  <si>
    <t>620</t>
  </si>
  <si>
    <t>Внедрение современных образовательных технологий</t>
  </si>
  <si>
    <t>Субсидии бюджетным учреждениям</t>
  </si>
  <si>
    <t>Субсидии автономным учреждениям</t>
  </si>
  <si>
    <t>421 10 10</t>
  </si>
  <si>
    <t>200</t>
  </si>
  <si>
    <t>Закупка товаров, работ и услуг для муниципальных нужд</t>
  </si>
  <si>
    <t>421 10 13</t>
  </si>
  <si>
    <t>630</t>
  </si>
  <si>
    <t>Субсидии некоммерческим организациям (за исключением муниципальных учреждений)</t>
  </si>
  <si>
    <t>Финансирование частичной компенсации стоимости питания отдельным категориям обучающихся в школах- детских садах, школах начальных средних т средних (оказание муниципальных услуг)</t>
  </si>
  <si>
    <t>Финансирование расходов на оплату труда работников школ- детских садов, школ начальных, неполных средних и средних,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обеспечения книгоиздательской продукцией и периодическими изданиями (оказание муниципальных услуг)</t>
  </si>
  <si>
    <t>421 10 19</t>
  </si>
  <si>
    <t>002 04 08</t>
  </si>
  <si>
    <t>002 04 07</t>
  </si>
  <si>
    <t xml:space="preserve">Центральный аппарат(обеспечение  полномочий в сфере образования и организации деятельности комиссий по делам несовершеннолетних и защите их прав городов и районов) </t>
  </si>
  <si>
    <t>002 04 01</t>
  </si>
  <si>
    <t>Расходы на содержание и обеспечение деятельности больниц, клиник, госпиталей, медико-санитарных частей (оказание муниципальных услуг)</t>
  </si>
  <si>
    <t>470 10 05</t>
  </si>
  <si>
    <t>Расходы на содержание и обеспечение деятельности родильных домов (оказание муниципальных услуг)</t>
  </si>
  <si>
    <t>476 10 05</t>
  </si>
  <si>
    <t>471 10 05</t>
  </si>
  <si>
    <t>Расходы на содержание и обеспечение деятельности поликлиник, амбулаторий, диагностических центров (содержание имущества, необходимого для оказания муниципальных услуг)</t>
  </si>
  <si>
    <t>470 20 05</t>
  </si>
  <si>
    <t>470 99 99</t>
  </si>
  <si>
    <t>476 20 05</t>
  </si>
  <si>
    <t>Расходы на содержание и обеспечение деятельности больниц, клиник, госпиталей, медико-санитарных частей (содержание имущества, необходимого для оказания муниципальных услуг)</t>
  </si>
  <si>
    <t>Расходы на содержание и обеспечение деятельности родильных домов ( содержание имущества, необходимого для оказания муниципальных услуг)</t>
  </si>
  <si>
    <t>471 20 05</t>
  </si>
  <si>
    <t>Расходы на содержание и обеспечение деятельности поликлиник, амбулаторий, диагностических центров (оказание муниципальных услуг)</t>
  </si>
  <si>
    <t>477 10 05</t>
  </si>
  <si>
    <t>Расходы на содержание и обеспечение деятельности станций скорой и неотложной помощи (оказание муниципальных услуг)</t>
  </si>
  <si>
    <t>Расходы на 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</si>
  <si>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477 20 05</t>
  </si>
  <si>
    <t>470 10 06</t>
  </si>
  <si>
    <t>Расходы на содержание и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</t>
  </si>
  <si>
    <t>470 30 05</t>
  </si>
  <si>
    <t>Расходы на содержание и обеспечение деятельности больниц, клиник, госпиталей, медико-санитарных частей (прочие расходы)</t>
  </si>
  <si>
    <t>476 30 05</t>
  </si>
  <si>
    <t>Расходы на содержание и обеспечение деятельности родильных домов ( прочие расходы )</t>
  </si>
  <si>
    <t>471 10 04</t>
  </si>
  <si>
    <t xml:space="preserve">Расходы на обеспечение полноценным питанием беременных женщин, кормящих матерей, а также детей в возрасте до трех лет </t>
  </si>
  <si>
    <t>471 30 05</t>
  </si>
  <si>
    <t>Расходы на содержание и обеспечение деятельности поликлиник, амбулаторий, диагностических центров (прочие расходы)</t>
  </si>
  <si>
    <t>477 30 05</t>
  </si>
  <si>
    <t>Расходы на содержание и обеспечение деятельности станций скорой и неотложной помощи (прочие расходы)</t>
  </si>
  <si>
    <t>470 99 00</t>
  </si>
  <si>
    <t>452 10 02</t>
  </si>
  <si>
    <t>Оплата труда работников централизованных бухгалтерий (оказание муниципальных услуг)</t>
  </si>
  <si>
    <t>612</t>
  </si>
  <si>
    <t>Субсидии бюджетным учреждениям на иные цели</t>
  </si>
  <si>
    <t>Центральный аппарат(отделы, обеспечивающие предоставление гражданам РФ, имеющим место жительства в Московской области, субсидий на оплату жилого помещения и коммунальных услуг и находящихся в составе администрации муниципального образования или в структуре правомочного учреждения)</t>
  </si>
  <si>
    <t>Центральный аппарат(обеспечение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</si>
  <si>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Мобилизационная и вневойсковая подготовка</t>
  </si>
  <si>
    <t>Финансовая поддержка негосударственных школ-детских садов, школ начальных, неполных средних и средних в части расходов на оплату труда работника негосударственных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услуг) (оказание муниципальных услуг)</t>
  </si>
  <si>
    <t>Центральный аппарат(отделы, обеспечивающие предоставление гражданам РФ, имеющим место жительства в Московской области, субсидий на оплату жилого помещения и коммунальных услуг и находящихся в составе администрации муниципального образования или в структуре управомочного учреждения)</t>
  </si>
  <si>
    <t>421 30 10</t>
  </si>
  <si>
    <t>Финансирование расходов на оплату труда работников школ- детских садов, школ начальных, неполных средних и средних,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обеспечения книгоиздательской продукцией и периодическими изданиями (прочие расходы)</t>
  </si>
  <si>
    <t xml:space="preserve">07 </t>
  </si>
  <si>
    <t>Мероприятия по проведению оздоровительной кампании детей</t>
  </si>
  <si>
    <t>522 17 00</t>
  </si>
  <si>
    <t>Долгосрочная целевая программа Московской области "Дороги Подмосковья на период 2012-2015 годов"</t>
  </si>
  <si>
    <t>522 10 00</t>
  </si>
  <si>
    <t>522 10 98</t>
  </si>
  <si>
    <t xml:space="preserve">522 10 98 </t>
  </si>
  <si>
    <t>Долгосрочная целевая программа Московской области "Развитие образования в Московской области на 2009-2012 год"</t>
  </si>
  <si>
    <t>Обеспечение дополнительными местами в муниципальных дошкольных образовательных учреждениях, в том числе на проведение текущего, капитального ремонта, ремонта ограждений, приобретение оборудования, мебели, мягкого инвентаря</t>
  </si>
  <si>
    <t>Федеральные целевые программы</t>
  </si>
  <si>
    <t>Федеральная целевая программа "Жилище" на 2011-2015 годы</t>
  </si>
  <si>
    <t>100 00 00</t>
  </si>
  <si>
    <t>100 88 00</t>
  </si>
  <si>
    <t>100 88 11</t>
  </si>
  <si>
    <t xml:space="preserve">Обеспечение жильем инвалидов войны и инвалидов боевых действий, участников ВОВ, ветеранов боевых действий, военнослужащих, проходивших военную службу в период с 22 июня 1941 года по 3 сентября 1945 года, граждан награжденных знаком "Жителю блокадного Ленинграда, лиц, работавших на военных объектах в период ВОВ, членов семей погибших (умерших) инвалидов войны, участников ВОВ, ветеранов боевых действий, инвалидов и семей, имеющих детей-инвалидов </t>
  </si>
  <si>
    <t>505 34 00</t>
  </si>
  <si>
    <t>Обеспечение жильем отдельных категорий граждан, установленных ФЗ от 12 января 1995 года №5-ФЗ О ветеранах" и  от 24 ноября 1995 года №181-ФЗ "О социальной защите инвалидов в РФ"</t>
  </si>
  <si>
    <t>505 34 02</t>
  </si>
  <si>
    <t>522 09 14</t>
  </si>
  <si>
    <t>522 09 00</t>
  </si>
  <si>
    <t>Долгосрочная целевая программа Московской области "Предупреждение и борьба  с заболеваниями социального характера в Московской области на 2009-2012 годы"</t>
  </si>
  <si>
    <t>Подпрограмма "Модернизация здравоохранения Московской области на 2011-2012 годы</t>
  </si>
  <si>
    <t>Другие вопросы в области здравоохранения</t>
  </si>
  <si>
    <t>431 10 02</t>
  </si>
  <si>
    <t>611</t>
  </si>
  <si>
    <t>522 10 41</t>
  </si>
  <si>
    <t>Закупка учебного оборудования и мебели для муниципальных общеобразовательных учреждений - победителей областного конкурса муниципальных общеобразовательных учреждений, разрабатывающих и внедряющих инновационные образовательные программы</t>
  </si>
  <si>
    <t>522 28 00</t>
  </si>
  <si>
    <t>Долгосрочная целевая программа Московской области "Совершенствование организации питания обучающихся муниципальных общеобразовательных учреждений в Московской области на период 2012-2014 годов"</t>
  </si>
  <si>
    <t>522 28 31</t>
  </si>
  <si>
    <t>436 21 00</t>
  </si>
  <si>
    <t>Модернизация региональной системы образования</t>
  </si>
  <si>
    <r>
      <t xml:space="preserve">Бюджетные инвестиции </t>
    </r>
    <r>
      <rPr>
        <sz val="11"/>
        <rFont val="Arial"/>
        <family val="2"/>
      </rPr>
      <t>(Монтаж циркулярного трубопровода ГВС к жилым домам №№20,22,24,26,28 по ул.Первомайская, №№ 17,16,19,20,21,22 по ул.Менделеева, №№ 19,21 по Московскому шоссе г.Долгопрудного</t>
    </r>
  </si>
  <si>
    <t>Закупка технологического оборудования для столовых и мебели для залов питания общеобразовательных учреждений муниципальных образований - победителей областного конкурсного отбора муниципальных проектов совершенствования организации питания обучающихся</t>
  </si>
  <si>
    <t>Вид  расходов</t>
  </si>
  <si>
    <t>522 15 14</t>
  </si>
  <si>
    <t>522 17 83</t>
  </si>
  <si>
    <t>522 17 84</t>
  </si>
  <si>
    <t>Финансирование работ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</t>
  </si>
  <si>
    <t>Финансирование работ по капитальному ремонту и ремонту автомобильных дорог общего пользования населенных пунктов</t>
  </si>
  <si>
    <t>522 32 00</t>
  </si>
  <si>
    <t>Долгосрочная целевая программа Московской области "Развитие системы отдыха и оздоровления детей в Московской области в 2012-2015 годах"</t>
  </si>
  <si>
    <t>320</t>
  </si>
  <si>
    <t>Социальные выплаты гражданам, кроме публичных нормативных социальных выплат</t>
  </si>
  <si>
    <t>810</t>
  </si>
  <si>
    <t>400</t>
  </si>
  <si>
    <t>520 10 30</t>
  </si>
  <si>
    <t>Компенсация части родительской платы за содержание ребенка в государственных и муниципальных образовательных учреждениях , реализующих основную общеобразовательную программу дошкольного образования (прочие расходы)</t>
  </si>
  <si>
    <t>300</t>
  </si>
  <si>
    <t>Социальные выплаты и иные выплаты населению</t>
  </si>
  <si>
    <t>522 32 41</t>
  </si>
  <si>
    <t>436 30 03</t>
  </si>
  <si>
    <t>Внедрение современных образовательных технологий                  (прочие расходы)</t>
  </si>
  <si>
    <t>321</t>
  </si>
  <si>
    <t>Пособия и компенсации гражданам и иные социальные выплаты, кроме публичных нормативных обязательств</t>
  </si>
  <si>
    <t>Организация и осуществление мероприятий по работе с детьми и молодежью в муниципальных образованиях (оказание муниципальных услуг)</t>
  </si>
  <si>
    <t>Субсидии бюджетным учреждениям на финансовое обеспечение государственного задания на оказание муниципальных услуг (выполнение работ)</t>
  </si>
  <si>
    <t>908</t>
  </si>
  <si>
    <t>Субсидии юридическим лицам (кроме муниципальных учреждений) и физическим лицам-производитетям товаров, работ, услуг</t>
  </si>
  <si>
    <t xml:space="preserve">Контрольно-ревизионная комиссия города Долгопрудного </t>
  </si>
  <si>
    <t>Бюджетные инвестиции (Здание дошкольного образовательного учреждения на 12 групп ул.Спортивная, северная сторона дома 7а )</t>
  </si>
  <si>
    <r>
      <t>Бюджетные инвестиции</t>
    </r>
    <r>
      <rPr>
        <sz val="11"/>
        <rFont val="Arial"/>
        <family val="2"/>
      </rPr>
      <t xml:space="preserve"> (Здание дошкольного образовательного учреждения на 12 групп ул.Спортивная, северная сторона дома 7а )</t>
    </r>
  </si>
  <si>
    <r>
      <t xml:space="preserve">Бюджетные инвестиции </t>
    </r>
    <r>
      <rPr>
        <sz val="11"/>
        <rFont val="Arial"/>
        <family val="2"/>
      </rPr>
      <t>(ПИР на реконструкцию и модернизацию котельной по ул.Заводская 2)</t>
    </r>
  </si>
  <si>
    <t>600 00 00</t>
  </si>
  <si>
    <t>Озеленение</t>
  </si>
  <si>
    <t>600 03 00</t>
  </si>
  <si>
    <t>600 05 00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</si>
  <si>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</si>
  <si>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</si>
  <si>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001 40 00</t>
  </si>
  <si>
    <t>Обеспечение жильем отдельных категорий граждан, установленных ФЗ от 12 января 1995 года №5-ФЗ "О ветеранах" в соответствии с Указом Президента Российской Федерации от 07 мая 2008 года №714 " Об обеспечении жильем ветеранов ВОВ 1941-1945 годов"</t>
  </si>
  <si>
    <t>505 34 01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</si>
  <si>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</si>
  <si>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505 21 00</t>
  </si>
  <si>
    <t>505 21 02</t>
  </si>
  <si>
    <t>Федеральный закон от 21 декабря 1996 года №159-ФЗ "О дополнительных гарантиях по социальной поддержке детей-сирот и детей, оставшихся без попечения родителей"</t>
  </si>
  <si>
    <t>522 15 04</t>
  </si>
  <si>
    <t>Подпрограмма "Обеспечение жильем молодых семей"</t>
  </si>
  <si>
    <t>100 88 20</t>
  </si>
  <si>
    <t>Обеспечение жильем граждан, уволенных с военной службы (службы), и приравненных к ним лиц</t>
  </si>
  <si>
    <t>Обеспечение жильем молодых семей</t>
  </si>
  <si>
    <t>Установка программного обеспечения и подключение муниципальных библиотек к информационно-телекоммуникационной сети "Интернет" (прочие расходы)</t>
  </si>
  <si>
    <t>442 30 20</t>
  </si>
  <si>
    <r>
      <t>Бюджетные инвестиции</t>
    </r>
    <r>
      <rPr>
        <sz val="11"/>
        <rFont val="Arial"/>
        <family val="2"/>
      </rPr>
      <t xml:space="preserve"> (ПИР по строительству дошкольного образовательного учреждения с бассейном на 250 мест по адресу: Московская область г.Долгопрудный,Лихачевское шоссе, в районе д.10) </t>
    </r>
  </si>
  <si>
    <t xml:space="preserve">Поддержка коммунального хозяйства </t>
  </si>
  <si>
    <t>351 00 00</t>
  </si>
  <si>
    <t>Мероприятия в области коммунального хозяйства</t>
  </si>
  <si>
    <t>351 05 00</t>
  </si>
  <si>
    <t>522 09 13</t>
  </si>
  <si>
    <t>Раздел "Укрепление материально-технической базы государственных учреждений здравоохранения Московской области"</t>
  </si>
  <si>
    <t>Комплектование книжных фондов библиотек муниципальных образований, установка программного обеспечения</t>
  </si>
  <si>
    <t>Комплектование книжных фондов библиотек городских округов, установка программного обеспечения</t>
  </si>
  <si>
    <r>
      <t>Бюджетные инвестиции</t>
    </r>
    <r>
      <rPr>
        <sz val="11"/>
        <rFont val="Arial"/>
        <family val="2"/>
      </rPr>
      <t xml:space="preserve"> (Строительство детского сада на 250 мест с бассейном по адресу МО, г.Долгопрудный микрорайон Центральный) </t>
    </r>
  </si>
  <si>
    <t>Комплектование книжных фондов библиотек муниципальных образований</t>
  </si>
  <si>
    <t>Комплектование книжных фондов библиотек городских округов</t>
  </si>
  <si>
    <t>522 26 00</t>
  </si>
  <si>
    <t>Обеспечение дополнительными местами в муниципальных дошкольных образовательных учреждениях</t>
  </si>
  <si>
    <t xml:space="preserve">Долгосрочная целевая программа Московской области "Развитие дошкольного образования в Московской области в 2012-2014 годах"" </t>
  </si>
  <si>
    <t xml:space="preserve">Долгосрочная целевая программа Московской области "Развитие дошкольного образования в Московской области в 2012-2014 годах" </t>
  </si>
  <si>
    <t>Долгосрочная целевая программа Московской области "Развитие дошкольного образования в Московской области в 2012-2014 годах"</t>
  </si>
  <si>
    <t>522 26 42</t>
  </si>
  <si>
    <t>522 10 47</t>
  </si>
  <si>
    <t>Повышение с 1 декабря 2012 года оплаты труда педагогических работников дошкольных образовательных учреждений</t>
  </si>
  <si>
    <t>522 13 00</t>
  </si>
  <si>
    <t>Субсидии юридическим лицам (кроме муниципальных учреждений) и физическим лицам-производителям товаров, работ, услуг</t>
  </si>
  <si>
    <t>522 26 43</t>
  </si>
  <si>
    <t>Реализация мероприятий по созданию новых мест в негосударственных дошкольных образовательных учреждениях</t>
  </si>
  <si>
    <r>
      <t>Бюджетные инвестиции</t>
    </r>
    <r>
      <rPr>
        <sz val="11"/>
        <rFont val="Arial"/>
        <family val="2"/>
      </rPr>
      <t xml:space="preserve"> (Здание дошкольного образовательного учреждения на 250 мест с бассейном ул.Лихачевское шоссе в районе д.10 (ПИР ))</t>
    </r>
  </si>
  <si>
    <t>440 30 12</t>
  </si>
  <si>
    <t>Проведение текущего, капитального ремонта и технического переоснащения муниципальных учреждений культуры и (или) на погашение кредиторской задолженности муниципальных образований Московской области за выполненные в 2011 году работы по проведению текущего, капитального ремонта и технического переоснащения муниципальных учреждений культуры (прочие расходы)</t>
  </si>
  <si>
    <t>Долгосрочная целевая программа г.Долгопрудного "Капитальный ремонт, реконструкция, ремонт, содержание автомобильных дорог общего пользования местного значения и размещение дополнительных гостевых парковок на дворовых и сопряженных с ними территориях в г.Долгопрудном на период 2011-2014 годы"</t>
  </si>
  <si>
    <t>522 21 00</t>
  </si>
  <si>
    <t>Долгосрочная целевая программа Московской области "Энергосбережение и повышение энергетической эффективности на территории Московской области на 2010-2020 годы"</t>
  </si>
  <si>
    <t>522 21 01</t>
  </si>
  <si>
    <t>"Повышение энергетической эффективности в жилищно-коммунальном хозяйстве Московской области"</t>
  </si>
  <si>
    <t>092 34 00</t>
  </si>
  <si>
    <t>Субсидия  на приобретение и установку приборов учета энергетических ресурсов (и/или на частичное возмещение расходов бюджетов на приобретение и установку приборов учета энергетических ресурсов) для малоимущих граждан, имеющих место жительства в Московской области, проживающих в муниципальном фонде , в 2012 году за счет средств Федерального бюджета</t>
  </si>
  <si>
    <t>% исполнения</t>
  </si>
  <si>
    <t xml:space="preserve">Исполнено </t>
  </si>
  <si>
    <t>Утверждено в бюджете</t>
  </si>
  <si>
    <t>345 00 00</t>
  </si>
  <si>
    <t>345 01 00</t>
  </si>
  <si>
    <t>Государственная поддержка малого и среднего предпринимательства</t>
  </si>
  <si>
    <t>520 15 00</t>
  </si>
  <si>
    <t>520 15 01</t>
  </si>
  <si>
    <t>Дополнительные мероприятия по развитию жилищно-коммунального хозяйства и социально-культурной сферы</t>
  </si>
  <si>
    <t>Прочие мероприятия по благоустройству городских округов и поселений</t>
  </si>
  <si>
    <t xml:space="preserve">05 </t>
  </si>
  <si>
    <t>514 00 00</t>
  </si>
  <si>
    <t>514 01 00</t>
  </si>
  <si>
    <t>Мероприятия в области социальной политики</t>
  </si>
  <si>
    <t>420 10 20</t>
  </si>
  <si>
    <t>420 10 00</t>
  </si>
  <si>
    <t>Субвенция по финансовому обеспечению содержания детей (присмотр и уход за детьми) в негосударственных дошкольных образовательных учреждениях</t>
  </si>
  <si>
    <t>Финансовое обеспечение содержания детей (присмотр и уход за детьми) в негосударственных дошкольных образовательных учреждениях (оказание муниципальных услуг)</t>
  </si>
  <si>
    <t>Субсидии юридическим лицам (кроме муниципальных учреждений) и физическим лица - производителям товаров, работ, услуг</t>
  </si>
  <si>
    <t>795 00 14</t>
  </si>
  <si>
    <t>Финансирование частичной компенсации стоимости питания отдельным категориям обучающихся в школах- детских садах, школах начальных средних и средних (оказание муниципальных услуг)</t>
  </si>
  <si>
    <t xml:space="preserve"> Комитет по управлению имуществом                                         г. Долгопрудный</t>
  </si>
  <si>
    <t>Реализация мероприятий муниципальных программ развития субъектов малого и среднего предпринимательства и организаций, образующих инфраструктуру поддержки и предпринимательства</t>
  </si>
  <si>
    <t>Долгосрочная целевая программа Московской области "Развитие субъектов малого и среднего предпринимательства в Московской области на 2009-2012 годы"</t>
  </si>
  <si>
    <t>Расходы за счет иных межбюджетных трансфертов, представляемых из бюджета Московской области бюджетам муниципальных образований на финансирование дополнительных  мероприятиях по развитию жилищно-коммунального хозяйства и социально-культурной сферы</t>
  </si>
  <si>
    <t>Приложение № 6</t>
  </si>
  <si>
    <t>Приложение № 8</t>
  </si>
  <si>
    <r>
      <t xml:space="preserve">Бюджетные инвестиции </t>
    </r>
    <r>
      <rPr>
        <sz val="11"/>
        <rFont val="Arial"/>
        <family val="2"/>
      </rPr>
      <t>(Монтаж циркулярного трубопровода ГВС к жилым домам №№20,22,24,26,28 по ул.Первомайская, №№ 17,16,19,20,21,22 по ул.Менделеева, №№ 19,21 по Московскому шоссе г.Долгопрудного)</t>
    </r>
  </si>
  <si>
    <t xml:space="preserve">Проведение мероприятий по комплексному развитию коммунальной инфраструктуры с целью организации теплоснабжения </t>
  </si>
  <si>
    <t xml:space="preserve"> Долгосрочная целевая программа "Муниципальная программа " Развитие физической культуры и спорта в г.Долгопрудном на 2012-2015 годы" </t>
  </si>
  <si>
    <t>от 21 июня 2013г. №55-нр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</si>
</sst>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  <numFmt numFmtId="173" formatCode="_-* #,##0.000_р_._-;\-* #,##0.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#,##0.0_ ;\-#,##0.0\ "/>
    <numFmt numFmtId="178" formatCode="0.0_ ;\-0.0\ "/>
    <numFmt numFmtId="179" formatCode="#,##0.0"/>
    <numFmt numFmtId="180" formatCode="_-* #,##0_р_._-;\-* #,##0_р_._-;_-* &quot;-&quot;?_р_._-;_-@_-"/>
    <numFmt numFmtId="181" formatCode="_-* #,##0_р_._-;\-* #,##0_р_._-;_-* &quot;-&quot;??_р_._-;_-@_-"/>
  </numFmts>
  <fonts count="43">
    <font>
      <sz val="12"/>
      <name val="Times New Roman Cyr"/>
      <family val="0"/>
    </font>
    <font>
      <b/>
      <sz val="12"/>
      <name val="Times New Roman Cyr"/>
      <family val="1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sz val="12"/>
      <color indexed="10"/>
      <name val="Times New Roman Cyr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Arial Cyr"/>
      <family val="0"/>
    </font>
    <font>
      <sz val="12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174" fontId="5" fillId="0" borderId="10" xfId="60" applyNumberFormat="1" applyFont="1" applyFill="1" applyBorder="1" applyAlignment="1">
      <alignment/>
    </xf>
    <xf numFmtId="174" fontId="6" fillId="0" borderId="10" xfId="60" applyNumberFormat="1" applyFont="1" applyFill="1" applyBorder="1" applyAlignment="1">
      <alignment/>
    </xf>
    <xf numFmtId="0" fontId="6" fillId="0" borderId="0" xfId="0" applyFont="1" applyAlignment="1">
      <alignment wrapText="1"/>
    </xf>
    <xf numFmtId="174" fontId="5" fillId="0" borderId="10" xfId="6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174" fontId="6" fillId="0" borderId="0" xfId="60" applyNumberFormat="1" applyFont="1" applyFill="1" applyAlignment="1">
      <alignment/>
    </xf>
    <xf numFmtId="181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74" fontId="6" fillId="0" borderId="0" xfId="6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174" fontId="5" fillId="0" borderId="10" xfId="6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81" fontId="5" fillId="0" borderId="10" xfId="60" applyNumberFormat="1" applyFont="1" applyFill="1" applyBorder="1" applyAlignment="1">
      <alignment/>
    </xf>
    <xf numFmtId="181" fontId="5" fillId="0" borderId="10" xfId="60" applyNumberFormat="1" applyFont="1" applyFill="1" applyBorder="1" applyAlignment="1">
      <alignment/>
    </xf>
    <xf numFmtId="181" fontId="6" fillId="0" borderId="10" xfId="6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 shrinkToFit="1"/>
    </xf>
    <xf numFmtId="0" fontId="5" fillId="0" borderId="1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/>
    </xf>
    <xf numFmtId="174" fontId="5" fillId="0" borderId="10" xfId="6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174" fontId="5" fillId="0" borderId="10" xfId="60" applyNumberFormat="1" applyFont="1" applyFill="1" applyBorder="1" applyAlignment="1">
      <alignment horizontal="left"/>
    </xf>
    <xf numFmtId="175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179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17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11" xfId="0" applyFont="1" applyFill="1" applyBorder="1" applyAlignment="1">
      <alignment horizontal="right"/>
    </xf>
    <xf numFmtId="174" fontId="5" fillId="0" borderId="10" xfId="60" applyNumberFormat="1" applyFont="1" applyFill="1" applyBorder="1" applyAlignment="1">
      <alignment/>
    </xf>
    <xf numFmtId="174" fontId="5" fillId="0" borderId="12" xfId="60" applyNumberFormat="1" applyFont="1" applyFill="1" applyBorder="1" applyAlignment="1">
      <alignment wrapText="1"/>
    </xf>
    <xf numFmtId="174" fontId="5" fillId="0" borderId="13" xfId="60" applyNumberFormat="1" applyFont="1" applyFill="1" applyBorder="1" applyAlignment="1">
      <alignment wrapText="1"/>
    </xf>
    <xf numFmtId="174" fontId="5" fillId="0" borderId="14" xfId="60" applyNumberFormat="1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4" fontId="5" fillId="0" borderId="10" xfId="60" applyNumberFormat="1" applyFont="1" applyFill="1" applyBorder="1" applyAlignment="1">
      <alignment wrapText="1"/>
    </xf>
    <xf numFmtId="174" fontId="6" fillId="0" borderId="10" xfId="60" applyNumberFormat="1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174" fontId="6" fillId="0" borderId="10" xfId="6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181" fontId="5" fillId="0" borderId="13" xfId="0" applyNumberFormat="1" applyFont="1" applyFill="1" applyBorder="1" applyAlignment="1">
      <alignment wrapText="1"/>
    </xf>
    <xf numFmtId="181" fontId="5" fillId="0" borderId="14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7"/>
  <sheetViews>
    <sheetView zoomScale="90" zoomScaleNormal="90" zoomScalePageLayoutView="0" workbookViewId="0" topLeftCell="A1">
      <selection activeCell="I4" sqref="I4"/>
    </sheetView>
  </sheetViews>
  <sheetFormatPr defaultColWidth="8.796875" defaultRowHeight="15"/>
  <cols>
    <col min="1" max="1" width="56.69921875" style="24" customWidth="1"/>
    <col min="2" max="2" width="3.59765625" style="25" customWidth="1"/>
    <col min="3" max="3" width="3.5" style="25" customWidth="1"/>
    <col min="4" max="4" width="10.59765625" style="25" customWidth="1"/>
    <col min="5" max="5" width="4.09765625" style="25" customWidth="1"/>
    <col min="6" max="6" width="15.59765625" style="24" customWidth="1"/>
    <col min="7" max="7" width="16.59765625" style="24" customWidth="1"/>
    <col min="8" max="8" width="13.59765625" style="24" customWidth="1"/>
    <col min="9" max="9" width="13.69921875" style="24" customWidth="1"/>
    <col min="10" max="10" width="9.3984375" style="24" customWidth="1"/>
    <col min="11" max="11" width="11" style="24" customWidth="1"/>
    <col min="12" max="12" width="13" style="4" customWidth="1"/>
    <col min="13" max="16384" width="9" style="4" customWidth="1"/>
  </cols>
  <sheetData>
    <row r="1" spans="9:10" ht="15">
      <c r="I1" s="55" t="s">
        <v>504</v>
      </c>
      <c r="J1" s="55"/>
    </row>
    <row r="2" spans="9:10" ht="15">
      <c r="I2" s="55" t="s">
        <v>301</v>
      </c>
      <c r="J2" s="55"/>
    </row>
    <row r="3" spans="9:10" ht="15">
      <c r="I3" s="55" t="s">
        <v>509</v>
      </c>
      <c r="J3" s="55"/>
    </row>
    <row r="8" ht="14.25">
      <c r="G8" s="51"/>
    </row>
    <row r="9" spans="1:10" ht="15">
      <c r="A9" s="62" t="s">
        <v>224</v>
      </c>
      <c r="B9" s="62"/>
      <c r="C9" s="62"/>
      <c r="D9" s="62"/>
      <c r="E9" s="62"/>
      <c r="F9" s="62"/>
      <c r="G9" s="62"/>
      <c r="H9" s="62"/>
      <c r="I9" s="62"/>
      <c r="J9" s="62"/>
    </row>
    <row r="10" spans="1:10" ht="18.75" customHeight="1">
      <c r="A10" s="70" t="s">
        <v>211</v>
      </c>
      <c r="B10" s="70"/>
      <c r="C10" s="70"/>
      <c r="D10" s="70"/>
      <c r="E10" s="70"/>
      <c r="F10" s="70"/>
      <c r="G10" s="70"/>
      <c r="H10" s="70"/>
      <c r="I10" s="70"/>
      <c r="J10" s="70"/>
    </row>
    <row r="11" spans="1:10" ht="18.75" customHeight="1">
      <c r="A11" s="52"/>
      <c r="B11" s="52"/>
      <c r="C11" s="52"/>
      <c r="D11" s="52"/>
      <c r="E11" s="52"/>
      <c r="F11" s="52"/>
      <c r="G11" s="57" t="s">
        <v>146</v>
      </c>
      <c r="H11" s="57"/>
      <c r="I11" s="57"/>
      <c r="J11" s="57"/>
    </row>
    <row r="12" spans="1:11" ht="14.25">
      <c r="A12" s="66" t="s">
        <v>73</v>
      </c>
      <c r="B12" s="68" t="s">
        <v>102</v>
      </c>
      <c r="C12" s="68" t="s">
        <v>103</v>
      </c>
      <c r="D12" s="68" t="s">
        <v>104</v>
      </c>
      <c r="E12" s="68" t="s">
        <v>105</v>
      </c>
      <c r="F12" s="58" t="s">
        <v>37</v>
      </c>
      <c r="G12" s="64" t="s">
        <v>186</v>
      </c>
      <c r="H12" s="58" t="s">
        <v>480</v>
      </c>
      <c r="I12" s="59" t="s">
        <v>186</v>
      </c>
      <c r="J12" s="60" t="s">
        <v>479</v>
      </c>
      <c r="K12" s="63"/>
    </row>
    <row r="13" spans="1:11" ht="74.25" customHeight="1">
      <c r="A13" s="67"/>
      <c r="B13" s="67"/>
      <c r="C13" s="67"/>
      <c r="D13" s="67"/>
      <c r="E13" s="67"/>
      <c r="F13" s="69"/>
      <c r="G13" s="65"/>
      <c r="H13" s="58"/>
      <c r="I13" s="59"/>
      <c r="J13" s="61"/>
      <c r="K13" s="63"/>
    </row>
    <row r="14" spans="1:10" ht="15">
      <c r="A14" s="10" t="s">
        <v>9</v>
      </c>
      <c r="B14" s="11" t="s">
        <v>106</v>
      </c>
      <c r="C14" s="11"/>
      <c r="D14" s="11"/>
      <c r="E14" s="11"/>
      <c r="F14" s="19">
        <f>F15+F48+F52+F27+F19+F43+F39</f>
        <v>193748.7</v>
      </c>
      <c r="G14" s="19">
        <f>G15+G48+G52+G27+G19+G43+G39</f>
        <v>9231</v>
      </c>
      <c r="H14" s="19">
        <f>H15+H48+H52+H27+H19+H43+H39</f>
        <v>181329.8</v>
      </c>
      <c r="I14" s="19">
        <f>I15+I48+I52+I27+I19+I43+I39</f>
        <v>8104.6</v>
      </c>
      <c r="J14" s="37">
        <f>H14/F14*100</f>
        <v>93.59020215361444</v>
      </c>
    </row>
    <row r="15" spans="1:10" ht="30">
      <c r="A15" s="35" t="s">
        <v>62</v>
      </c>
      <c r="B15" s="11" t="s">
        <v>106</v>
      </c>
      <c r="C15" s="11" t="s">
        <v>107</v>
      </c>
      <c r="D15" s="11"/>
      <c r="E15" s="11"/>
      <c r="F15" s="19">
        <f aca="true" t="shared" si="0" ref="F15:I17">F16</f>
        <v>3525.3</v>
      </c>
      <c r="G15" s="19">
        <f t="shared" si="0"/>
        <v>0</v>
      </c>
      <c r="H15" s="19">
        <f t="shared" si="0"/>
        <v>3485.2</v>
      </c>
      <c r="I15" s="19">
        <f t="shared" si="0"/>
        <v>0</v>
      </c>
      <c r="J15" s="20"/>
    </row>
    <row r="16" spans="1:10" ht="42.75" customHeight="1">
      <c r="A16" s="6" t="s">
        <v>181</v>
      </c>
      <c r="B16" s="8" t="s">
        <v>106</v>
      </c>
      <c r="C16" s="8" t="s">
        <v>107</v>
      </c>
      <c r="D16" s="8" t="s">
        <v>149</v>
      </c>
      <c r="E16" s="8"/>
      <c r="F16" s="20">
        <f t="shared" si="0"/>
        <v>3525.3</v>
      </c>
      <c r="G16" s="20">
        <f t="shared" si="0"/>
        <v>0</v>
      </c>
      <c r="H16" s="20">
        <f t="shared" si="0"/>
        <v>3485.2</v>
      </c>
      <c r="I16" s="20">
        <f t="shared" si="0"/>
        <v>0</v>
      </c>
      <c r="J16" s="20"/>
    </row>
    <row r="17" spans="1:10" ht="14.25">
      <c r="A17" s="6" t="s">
        <v>154</v>
      </c>
      <c r="B17" s="8" t="s">
        <v>106</v>
      </c>
      <c r="C17" s="8" t="s">
        <v>107</v>
      </c>
      <c r="D17" s="8" t="s">
        <v>155</v>
      </c>
      <c r="E17" s="8"/>
      <c r="F17" s="20">
        <f t="shared" si="0"/>
        <v>3525.3</v>
      </c>
      <c r="G17" s="20">
        <f t="shared" si="0"/>
        <v>0</v>
      </c>
      <c r="H17" s="20">
        <f t="shared" si="0"/>
        <v>3485.2</v>
      </c>
      <c r="I17" s="20">
        <f t="shared" si="0"/>
        <v>0</v>
      </c>
      <c r="J17" s="20"/>
    </row>
    <row r="18" spans="1:10" ht="14.25">
      <c r="A18" s="7" t="s">
        <v>86</v>
      </c>
      <c r="B18" s="8" t="s">
        <v>106</v>
      </c>
      <c r="C18" s="8" t="s">
        <v>107</v>
      </c>
      <c r="D18" s="8" t="s">
        <v>155</v>
      </c>
      <c r="E18" s="8" t="s">
        <v>150</v>
      </c>
      <c r="F18" s="20">
        <f>'Прилож №8'!G14</f>
        <v>3525.3</v>
      </c>
      <c r="G18" s="20">
        <f>'Прилож №8'!H14</f>
        <v>0</v>
      </c>
      <c r="H18" s="20">
        <f>'Прилож №8'!I14</f>
        <v>3485.2</v>
      </c>
      <c r="I18" s="20">
        <f>'Прилож №8'!J14</f>
        <v>0</v>
      </c>
      <c r="J18" s="20"/>
    </row>
    <row r="19" spans="1:10" ht="45">
      <c r="A19" s="35" t="s">
        <v>156</v>
      </c>
      <c r="B19" s="11" t="s">
        <v>106</v>
      </c>
      <c r="C19" s="11" t="s">
        <v>111</v>
      </c>
      <c r="D19" s="11"/>
      <c r="E19" s="11"/>
      <c r="F19" s="19">
        <f>F20</f>
        <v>5484.200000000001</v>
      </c>
      <c r="G19" s="19">
        <f>G20</f>
        <v>0</v>
      </c>
      <c r="H19" s="19">
        <f>H20</f>
        <v>5227.5</v>
      </c>
      <c r="I19" s="19">
        <f>I20</f>
        <v>0</v>
      </c>
      <c r="J19" s="37">
        <f>H19/F19*100</f>
        <v>95.3192808431494</v>
      </c>
    </row>
    <row r="20" spans="1:10" ht="42.75">
      <c r="A20" s="6" t="s">
        <v>153</v>
      </c>
      <c r="B20" s="8" t="s">
        <v>106</v>
      </c>
      <c r="C20" s="8" t="s">
        <v>111</v>
      </c>
      <c r="D20" s="8" t="s">
        <v>149</v>
      </c>
      <c r="E20" s="8"/>
      <c r="F20" s="20">
        <f>F21+F23+F25</f>
        <v>5484.200000000001</v>
      </c>
      <c r="G20" s="20">
        <f>G21+G23+G25</f>
        <v>0</v>
      </c>
      <c r="H20" s="20">
        <f>H21+H23+H25</f>
        <v>5227.5</v>
      </c>
      <c r="I20" s="20">
        <f>I21+I23+I25</f>
        <v>0</v>
      </c>
      <c r="J20" s="20"/>
    </row>
    <row r="21" spans="1:10" ht="14.25">
      <c r="A21" s="7" t="s">
        <v>33</v>
      </c>
      <c r="B21" s="8" t="s">
        <v>106</v>
      </c>
      <c r="C21" s="8" t="s">
        <v>111</v>
      </c>
      <c r="D21" s="8" t="s">
        <v>151</v>
      </c>
      <c r="E21" s="8"/>
      <c r="F21" s="20">
        <f>F22</f>
        <v>2646.4</v>
      </c>
      <c r="G21" s="20">
        <f>G22</f>
        <v>0</v>
      </c>
      <c r="H21" s="20">
        <f>H22</f>
        <v>2390.3</v>
      </c>
      <c r="I21" s="20">
        <f>I22</f>
        <v>0</v>
      </c>
      <c r="J21" s="20"/>
    </row>
    <row r="22" spans="1:10" ht="14.25">
      <c r="A22" s="7" t="s">
        <v>86</v>
      </c>
      <c r="B22" s="8" t="s">
        <v>106</v>
      </c>
      <c r="C22" s="8" t="s">
        <v>111</v>
      </c>
      <c r="D22" s="8" t="s">
        <v>151</v>
      </c>
      <c r="E22" s="8" t="s">
        <v>150</v>
      </c>
      <c r="F22" s="20">
        <f>'Прилож №8'!G500</f>
        <v>2646.4</v>
      </c>
      <c r="G22" s="20">
        <f>'Прилож №8'!H500</f>
        <v>0</v>
      </c>
      <c r="H22" s="20">
        <f>'Прилож №8'!I500</f>
        <v>2390.3</v>
      </c>
      <c r="I22" s="20">
        <f>'Прилож №8'!J500</f>
        <v>0</v>
      </c>
      <c r="J22" s="20"/>
    </row>
    <row r="23" spans="1:10" ht="18" customHeight="1">
      <c r="A23" s="6" t="s">
        <v>228</v>
      </c>
      <c r="B23" s="8" t="s">
        <v>106</v>
      </c>
      <c r="C23" s="8" t="s">
        <v>111</v>
      </c>
      <c r="D23" s="8" t="s">
        <v>229</v>
      </c>
      <c r="E23" s="8"/>
      <c r="F23" s="20">
        <f>F24</f>
        <v>3</v>
      </c>
      <c r="G23" s="20">
        <f>G24</f>
        <v>0</v>
      </c>
      <c r="H23" s="20">
        <f>H24</f>
        <v>2.6</v>
      </c>
      <c r="I23" s="20">
        <f>I24</f>
        <v>0</v>
      </c>
      <c r="J23" s="20"/>
    </row>
    <row r="24" spans="1:10" ht="14.25">
      <c r="A24" s="7" t="s">
        <v>86</v>
      </c>
      <c r="B24" s="8" t="s">
        <v>106</v>
      </c>
      <c r="C24" s="8" t="s">
        <v>111</v>
      </c>
      <c r="D24" s="8" t="s">
        <v>229</v>
      </c>
      <c r="E24" s="8" t="s">
        <v>150</v>
      </c>
      <c r="F24" s="20">
        <f>'Прилож №8'!G504</f>
        <v>3</v>
      </c>
      <c r="G24" s="20">
        <f>'Прилож №8'!H504</f>
        <v>0</v>
      </c>
      <c r="H24" s="20">
        <f>'Прилож №8'!I504</f>
        <v>2.6</v>
      </c>
      <c r="I24" s="20">
        <f>'Прилож №8'!J504</f>
        <v>0</v>
      </c>
      <c r="J24" s="20"/>
    </row>
    <row r="25" spans="1:10" ht="28.5">
      <c r="A25" s="6" t="s">
        <v>157</v>
      </c>
      <c r="B25" s="8" t="s">
        <v>106</v>
      </c>
      <c r="C25" s="8" t="s">
        <v>111</v>
      </c>
      <c r="D25" s="8" t="s">
        <v>158</v>
      </c>
      <c r="E25" s="8"/>
      <c r="F25" s="20">
        <f>F26</f>
        <v>2834.8</v>
      </c>
      <c r="G25" s="20">
        <f>G26</f>
        <v>0</v>
      </c>
      <c r="H25" s="20">
        <f>H26</f>
        <v>2834.6</v>
      </c>
      <c r="I25" s="20">
        <f>I26</f>
        <v>0</v>
      </c>
      <c r="J25" s="20"/>
    </row>
    <row r="26" spans="1:10" ht="14.25">
      <c r="A26" s="7" t="s">
        <v>86</v>
      </c>
      <c r="B26" s="8" t="s">
        <v>106</v>
      </c>
      <c r="C26" s="8" t="s">
        <v>111</v>
      </c>
      <c r="D26" s="8" t="s">
        <v>158</v>
      </c>
      <c r="E26" s="8" t="s">
        <v>150</v>
      </c>
      <c r="F26" s="20">
        <f>'Прилож №8'!G502</f>
        <v>2834.8</v>
      </c>
      <c r="G26" s="20">
        <f>'Прилож №8'!H502</f>
        <v>0</v>
      </c>
      <c r="H26" s="20">
        <f>'Прилож №8'!I502</f>
        <v>2834.6</v>
      </c>
      <c r="I26" s="20">
        <f>'Прилож №8'!J502</f>
        <v>0</v>
      </c>
      <c r="J26" s="20"/>
    </row>
    <row r="27" spans="1:10" ht="49.5" customHeight="1">
      <c r="A27" s="35" t="s">
        <v>63</v>
      </c>
      <c r="B27" s="11" t="s">
        <v>106</v>
      </c>
      <c r="C27" s="11" t="s">
        <v>108</v>
      </c>
      <c r="D27" s="11"/>
      <c r="E27" s="11"/>
      <c r="F27" s="19">
        <f>F28</f>
        <v>103408.3</v>
      </c>
      <c r="G27" s="19">
        <f>G28</f>
        <v>9090</v>
      </c>
      <c r="H27" s="19">
        <f>H28</f>
        <v>98955.99999999999</v>
      </c>
      <c r="I27" s="19">
        <f>I28</f>
        <v>8104.6</v>
      </c>
      <c r="J27" s="37">
        <f>H27/F27*100</f>
        <v>95.69444619048953</v>
      </c>
    </row>
    <row r="28" spans="1:10" ht="18.75" customHeight="1">
      <c r="A28" s="6" t="s">
        <v>87</v>
      </c>
      <c r="B28" s="8" t="s">
        <v>106</v>
      </c>
      <c r="C28" s="8" t="s">
        <v>108</v>
      </c>
      <c r="D28" s="8" t="s">
        <v>149</v>
      </c>
      <c r="E28" s="8"/>
      <c r="F28" s="20">
        <f>F29+F37</f>
        <v>103408.3</v>
      </c>
      <c r="G28" s="20">
        <f>G29+G37</f>
        <v>9090</v>
      </c>
      <c r="H28" s="20">
        <f>H29+H37</f>
        <v>98955.99999999999</v>
      </c>
      <c r="I28" s="20">
        <f>I29+I37</f>
        <v>8104.6</v>
      </c>
      <c r="J28" s="20"/>
    </row>
    <row r="29" spans="1:10" ht="14.25">
      <c r="A29" s="7" t="s">
        <v>33</v>
      </c>
      <c r="B29" s="8" t="s">
        <v>106</v>
      </c>
      <c r="C29" s="8" t="s">
        <v>108</v>
      </c>
      <c r="D29" s="8" t="s">
        <v>151</v>
      </c>
      <c r="E29" s="8"/>
      <c r="F29" s="20">
        <f>F30+F32+F34+F36</f>
        <v>103225.3</v>
      </c>
      <c r="G29" s="20">
        <f>G30+G32+G34+G36</f>
        <v>9090</v>
      </c>
      <c r="H29" s="20">
        <f>H30+H32+H34+H36</f>
        <v>98828.99999999999</v>
      </c>
      <c r="I29" s="20">
        <f>I30+I32+I34+I36</f>
        <v>8104.6</v>
      </c>
      <c r="J29" s="20"/>
    </row>
    <row r="30" spans="1:10" ht="14.25">
      <c r="A30" s="7" t="s">
        <v>86</v>
      </c>
      <c r="B30" s="8" t="s">
        <v>106</v>
      </c>
      <c r="C30" s="8" t="s">
        <v>108</v>
      </c>
      <c r="D30" s="8" t="s">
        <v>151</v>
      </c>
      <c r="E30" s="8" t="s">
        <v>150</v>
      </c>
      <c r="F30" s="20">
        <f>'Прилож №8'!G18</f>
        <v>94135.3</v>
      </c>
      <c r="G30" s="20">
        <f>'Прилож №8'!H18</f>
        <v>0</v>
      </c>
      <c r="H30" s="20">
        <f>'Прилож №8'!I18</f>
        <v>90724.4</v>
      </c>
      <c r="I30" s="20">
        <f>'Прилож №8'!J18</f>
        <v>0</v>
      </c>
      <c r="J30" s="20"/>
    </row>
    <row r="31" spans="1:10" ht="85.5">
      <c r="A31" s="6" t="s">
        <v>359</v>
      </c>
      <c r="B31" s="8" t="s">
        <v>106</v>
      </c>
      <c r="C31" s="8" t="s">
        <v>108</v>
      </c>
      <c r="D31" s="8" t="s">
        <v>320</v>
      </c>
      <c r="E31" s="8"/>
      <c r="F31" s="20">
        <f>F32</f>
        <v>4539</v>
      </c>
      <c r="G31" s="20">
        <f>G32</f>
        <v>4539</v>
      </c>
      <c r="H31" s="20">
        <f>H32</f>
        <v>4091.9</v>
      </c>
      <c r="I31" s="20">
        <f>I32</f>
        <v>4091.9</v>
      </c>
      <c r="J31" s="20"/>
    </row>
    <row r="32" spans="1:10" ht="14.25">
      <c r="A32" s="7" t="s">
        <v>299</v>
      </c>
      <c r="B32" s="8" t="s">
        <v>106</v>
      </c>
      <c r="C32" s="8" t="s">
        <v>108</v>
      </c>
      <c r="D32" s="8" t="s">
        <v>320</v>
      </c>
      <c r="E32" s="8" t="s">
        <v>300</v>
      </c>
      <c r="F32" s="20">
        <f>'Прилож №8'!G20</f>
        <v>4539</v>
      </c>
      <c r="G32" s="20">
        <f>'Прилож №8'!H20</f>
        <v>4539</v>
      </c>
      <c r="H32" s="20">
        <f>'Прилож №8'!I20</f>
        <v>4091.9</v>
      </c>
      <c r="I32" s="20">
        <f>'Прилож №8'!J20</f>
        <v>4091.9</v>
      </c>
      <c r="J32" s="20"/>
    </row>
    <row r="33" spans="1:10" ht="42.75">
      <c r="A33" s="6" t="s">
        <v>319</v>
      </c>
      <c r="B33" s="8" t="s">
        <v>106</v>
      </c>
      <c r="C33" s="8" t="s">
        <v>108</v>
      </c>
      <c r="D33" s="8" t="s">
        <v>318</v>
      </c>
      <c r="E33" s="8"/>
      <c r="F33" s="20">
        <f>F34</f>
        <v>2651</v>
      </c>
      <c r="G33" s="20">
        <f>G34</f>
        <v>2651</v>
      </c>
      <c r="H33" s="20">
        <f>H34</f>
        <v>2519.9</v>
      </c>
      <c r="I33" s="20">
        <f>I34</f>
        <v>2519.9</v>
      </c>
      <c r="J33" s="20"/>
    </row>
    <row r="34" spans="1:10" ht="14.25">
      <c r="A34" s="7" t="s">
        <v>299</v>
      </c>
      <c r="B34" s="8" t="s">
        <v>106</v>
      </c>
      <c r="C34" s="8" t="s">
        <v>108</v>
      </c>
      <c r="D34" s="8" t="s">
        <v>318</v>
      </c>
      <c r="E34" s="8" t="s">
        <v>300</v>
      </c>
      <c r="F34" s="20">
        <f>'Прилож №8'!G22</f>
        <v>2651</v>
      </c>
      <c r="G34" s="20">
        <f>'Прилож №8'!H22</f>
        <v>2651</v>
      </c>
      <c r="H34" s="20">
        <f>'Прилож №8'!I22</f>
        <v>2519.9</v>
      </c>
      <c r="I34" s="20">
        <f>'Прилож №8'!J22</f>
        <v>2519.9</v>
      </c>
      <c r="J34" s="20"/>
    </row>
    <row r="35" spans="1:10" ht="71.25">
      <c r="A35" s="6" t="s">
        <v>356</v>
      </c>
      <c r="B35" s="8" t="s">
        <v>106</v>
      </c>
      <c r="C35" s="8" t="s">
        <v>108</v>
      </c>
      <c r="D35" s="8" t="s">
        <v>317</v>
      </c>
      <c r="E35" s="8"/>
      <c r="F35" s="20">
        <f>F36</f>
        <v>1900</v>
      </c>
      <c r="G35" s="20">
        <f>G36</f>
        <v>1900</v>
      </c>
      <c r="H35" s="20">
        <f>H36</f>
        <v>1492.8</v>
      </c>
      <c r="I35" s="20">
        <f>I36</f>
        <v>1492.8</v>
      </c>
      <c r="J35" s="20"/>
    </row>
    <row r="36" spans="1:10" ht="14.25">
      <c r="A36" s="7" t="s">
        <v>299</v>
      </c>
      <c r="B36" s="8" t="s">
        <v>106</v>
      </c>
      <c r="C36" s="8" t="s">
        <v>108</v>
      </c>
      <c r="D36" s="8" t="s">
        <v>317</v>
      </c>
      <c r="E36" s="8" t="s">
        <v>300</v>
      </c>
      <c r="F36" s="20">
        <f>'Прилож №8'!G24</f>
        <v>1900</v>
      </c>
      <c r="G36" s="20">
        <f>'Прилож №8'!H24</f>
        <v>1900</v>
      </c>
      <c r="H36" s="20">
        <f>'Прилож №8'!I24</f>
        <v>1492.8</v>
      </c>
      <c r="I36" s="20">
        <f>'Прилож №8'!J24</f>
        <v>1492.8</v>
      </c>
      <c r="J36" s="20"/>
    </row>
    <row r="37" spans="1:10" ht="18.75" customHeight="1">
      <c r="A37" s="6" t="s">
        <v>228</v>
      </c>
      <c r="B37" s="8" t="s">
        <v>106</v>
      </c>
      <c r="C37" s="8" t="s">
        <v>108</v>
      </c>
      <c r="D37" s="8" t="s">
        <v>229</v>
      </c>
      <c r="E37" s="8"/>
      <c r="F37" s="20">
        <f>F38</f>
        <v>183</v>
      </c>
      <c r="G37" s="20">
        <f>G38</f>
        <v>0</v>
      </c>
      <c r="H37" s="20">
        <f>H38</f>
        <v>127</v>
      </c>
      <c r="I37" s="20">
        <f>I38</f>
        <v>0</v>
      </c>
      <c r="J37" s="20"/>
    </row>
    <row r="38" spans="1:10" ht="14.25">
      <c r="A38" s="7" t="s">
        <v>86</v>
      </c>
      <c r="B38" s="8" t="s">
        <v>106</v>
      </c>
      <c r="C38" s="8" t="s">
        <v>108</v>
      </c>
      <c r="D38" s="8" t="s">
        <v>229</v>
      </c>
      <c r="E38" s="8" t="s">
        <v>150</v>
      </c>
      <c r="F38" s="20">
        <f>'Прилож №8'!G26</f>
        <v>183</v>
      </c>
      <c r="G38" s="20">
        <f>'Прилож №8'!H26</f>
        <v>0</v>
      </c>
      <c r="H38" s="20">
        <f>'Прилож №8'!I26</f>
        <v>127</v>
      </c>
      <c r="I38" s="20">
        <f>'Прилож №8'!J26</f>
        <v>0</v>
      </c>
      <c r="J38" s="20"/>
    </row>
    <row r="39" spans="1:10" ht="15">
      <c r="A39" s="10" t="s">
        <v>429</v>
      </c>
      <c r="B39" s="8" t="s">
        <v>106</v>
      </c>
      <c r="C39" s="8" t="s">
        <v>119</v>
      </c>
      <c r="D39" s="8"/>
      <c r="E39" s="8"/>
      <c r="F39" s="20">
        <f aca="true" t="shared" si="1" ref="F39:I41">F40</f>
        <v>141</v>
      </c>
      <c r="G39" s="20">
        <f t="shared" si="1"/>
        <v>141</v>
      </c>
      <c r="H39" s="20">
        <f t="shared" si="1"/>
        <v>0</v>
      </c>
      <c r="I39" s="20">
        <f t="shared" si="1"/>
        <v>0</v>
      </c>
      <c r="J39" s="20"/>
    </row>
    <row r="40" spans="1:10" ht="14.25">
      <c r="A40" s="7" t="s">
        <v>220</v>
      </c>
      <c r="B40" s="8" t="s">
        <v>106</v>
      </c>
      <c r="C40" s="8" t="s">
        <v>119</v>
      </c>
      <c r="D40" s="8" t="s">
        <v>221</v>
      </c>
      <c r="E40" s="8"/>
      <c r="F40" s="20">
        <f t="shared" si="1"/>
        <v>141</v>
      </c>
      <c r="G40" s="20">
        <f t="shared" si="1"/>
        <v>141</v>
      </c>
      <c r="H40" s="20">
        <f t="shared" si="1"/>
        <v>0</v>
      </c>
      <c r="I40" s="20">
        <f t="shared" si="1"/>
        <v>0</v>
      </c>
      <c r="J40" s="20"/>
    </row>
    <row r="41" spans="1:10" ht="42.75">
      <c r="A41" s="6" t="s">
        <v>430</v>
      </c>
      <c r="B41" s="8" t="s">
        <v>106</v>
      </c>
      <c r="C41" s="8" t="s">
        <v>119</v>
      </c>
      <c r="D41" s="8" t="s">
        <v>431</v>
      </c>
      <c r="E41" s="8"/>
      <c r="F41" s="20">
        <f t="shared" si="1"/>
        <v>141</v>
      </c>
      <c r="G41" s="20">
        <f t="shared" si="1"/>
        <v>141</v>
      </c>
      <c r="H41" s="20">
        <f t="shared" si="1"/>
        <v>0</v>
      </c>
      <c r="I41" s="20">
        <f t="shared" si="1"/>
        <v>0</v>
      </c>
      <c r="J41" s="20"/>
    </row>
    <row r="42" spans="1:10" ht="14.25">
      <c r="A42" s="7" t="s">
        <v>299</v>
      </c>
      <c r="B42" s="8" t="s">
        <v>106</v>
      </c>
      <c r="C42" s="8" t="s">
        <v>119</v>
      </c>
      <c r="D42" s="8" t="s">
        <v>431</v>
      </c>
      <c r="E42" s="8" t="s">
        <v>300</v>
      </c>
      <c r="F42" s="20">
        <f>'Прилож №8'!G30</f>
        <v>141</v>
      </c>
      <c r="G42" s="20">
        <f>'Прилож №8'!H30</f>
        <v>141</v>
      </c>
      <c r="H42" s="20">
        <f>'Прилож №8'!I30</f>
        <v>0</v>
      </c>
      <c r="I42" s="20">
        <f>'Прилож №8'!J30</f>
        <v>0</v>
      </c>
      <c r="J42" s="20"/>
    </row>
    <row r="43" spans="1:10" ht="45">
      <c r="A43" s="35" t="s">
        <v>175</v>
      </c>
      <c r="B43" s="11" t="s">
        <v>106</v>
      </c>
      <c r="C43" s="11" t="s">
        <v>122</v>
      </c>
      <c r="D43" s="11"/>
      <c r="E43" s="11"/>
      <c r="F43" s="19">
        <f>F44+F46</f>
        <v>16720.5</v>
      </c>
      <c r="G43" s="19">
        <f>G44+G46</f>
        <v>0</v>
      </c>
      <c r="H43" s="19">
        <f>H44+H46</f>
        <v>15748.6</v>
      </c>
      <c r="I43" s="19">
        <f>I44+I46</f>
        <v>0</v>
      </c>
      <c r="J43" s="37">
        <f>H43/F43*100</f>
        <v>94.18737477946235</v>
      </c>
    </row>
    <row r="44" spans="1:10" ht="14.25">
      <c r="A44" s="7" t="s">
        <v>33</v>
      </c>
      <c r="B44" s="8" t="s">
        <v>106</v>
      </c>
      <c r="C44" s="8" t="s">
        <v>122</v>
      </c>
      <c r="D44" s="8" t="s">
        <v>151</v>
      </c>
      <c r="E44" s="8"/>
      <c r="F44" s="20">
        <f>F45</f>
        <v>16689.1</v>
      </c>
      <c r="G44" s="20">
        <f>G45</f>
        <v>0</v>
      </c>
      <c r="H44" s="20">
        <f>H45</f>
        <v>15736</v>
      </c>
      <c r="I44" s="20">
        <f>I45</f>
        <v>0</v>
      </c>
      <c r="J44" s="20"/>
    </row>
    <row r="45" spans="1:10" ht="14.25">
      <c r="A45" s="7" t="s">
        <v>86</v>
      </c>
      <c r="B45" s="8" t="s">
        <v>106</v>
      </c>
      <c r="C45" s="8" t="s">
        <v>122</v>
      </c>
      <c r="D45" s="8" t="s">
        <v>151</v>
      </c>
      <c r="E45" s="8" t="s">
        <v>150</v>
      </c>
      <c r="F45" s="20">
        <f>'Прилож №8'!G552+'Прилож №8'!G620</f>
        <v>16689.1</v>
      </c>
      <c r="G45" s="20">
        <f>'Прилож №8'!H552+'Прилож №8'!H620</f>
        <v>0</v>
      </c>
      <c r="H45" s="20">
        <f>'Прилож №8'!I552+'Прилож №8'!I620</f>
        <v>15736</v>
      </c>
      <c r="I45" s="20">
        <f>'Прилож №8'!J552+'Прилож №8'!J620</f>
        <v>0</v>
      </c>
      <c r="J45" s="20"/>
    </row>
    <row r="46" spans="1:10" ht="18.75" customHeight="1">
      <c r="A46" s="6" t="s">
        <v>228</v>
      </c>
      <c r="B46" s="8" t="s">
        <v>106</v>
      </c>
      <c r="C46" s="8" t="s">
        <v>122</v>
      </c>
      <c r="D46" s="8" t="s">
        <v>229</v>
      </c>
      <c r="E46" s="8"/>
      <c r="F46" s="20">
        <f>F47</f>
        <v>31.4</v>
      </c>
      <c r="G46" s="20">
        <f>G47</f>
        <v>0</v>
      </c>
      <c r="H46" s="20">
        <f>H47</f>
        <v>12.6</v>
      </c>
      <c r="I46" s="20">
        <f>I47</f>
        <v>0</v>
      </c>
      <c r="J46" s="20"/>
    </row>
    <row r="47" spans="1:10" ht="14.25">
      <c r="A47" s="7" t="s">
        <v>86</v>
      </c>
      <c r="B47" s="8" t="s">
        <v>106</v>
      </c>
      <c r="C47" s="8" t="s">
        <v>122</v>
      </c>
      <c r="D47" s="8" t="s">
        <v>229</v>
      </c>
      <c r="E47" s="8" t="s">
        <v>150</v>
      </c>
      <c r="F47" s="20">
        <f>'Прилож №8'!G554</f>
        <v>31.4</v>
      </c>
      <c r="G47" s="20">
        <f>'Прилож №8'!H554</f>
        <v>0</v>
      </c>
      <c r="H47" s="20">
        <f>'Прилож №8'!I554</f>
        <v>12.6</v>
      </c>
      <c r="I47" s="20">
        <f>'Прилож №8'!J554</f>
        <v>0</v>
      </c>
      <c r="J47" s="20"/>
    </row>
    <row r="48" spans="1:10" ht="15">
      <c r="A48" s="10" t="s">
        <v>8</v>
      </c>
      <c r="B48" s="11" t="s">
        <v>106</v>
      </c>
      <c r="C48" s="11" t="s">
        <v>188</v>
      </c>
      <c r="D48" s="11"/>
      <c r="E48" s="11"/>
      <c r="F48" s="19">
        <f>F49</f>
        <v>3162</v>
      </c>
      <c r="G48" s="19">
        <f>G49</f>
        <v>0</v>
      </c>
      <c r="H48" s="19">
        <f>H49</f>
        <v>0</v>
      </c>
      <c r="I48" s="19">
        <f>I49</f>
        <v>0</v>
      </c>
      <c r="J48" s="20"/>
    </row>
    <row r="49" spans="1:10" ht="14.25">
      <c r="A49" s="7" t="s">
        <v>8</v>
      </c>
      <c r="B49" s="8" t="s">
        <v>106</v>
      </c>
      <c r="C49" s="8" t="s">
        <v>188</v>
      </c>
      <c r="D49" s="8" t="s">
        <v>11</v>
      </c>
      <c r="E49" s="8"/>
      <c r="F49" s="20">
        <f>F50</f>
        <v>3162</v>
      </c>
      <c r="G49" s="20">
        <f aca="true" t="shared" si="2" ref="G49:I50">G50</f>
        <v>0</v>
      </c>
      <c r="H49" s="20">
        <f t="shared" si="2"/>
        <v>0</v>
      </c>
      <c r="I49" s="20">
        <f t="shared" si="2"/>
        <v>0</v>
      </c>
      <c r="J49" s="20"/>
    </row>
    <row r="50" spans="1:10" ht="28.5">
      <c r="A50" s="6" t="s">
        <v>89</v>
      </c>
      <c r="B50" s="8" t="s">
        <v>106</v>
      </c>
      <c r="C50" s="8" t="s">
        <v>188</v>
      </c>
      <c r="D50" s="8" t="s">
        <v>90</v>
      </c>
      <c r="E50" s="8"/>
      <c r="F50" s="20">
        <f>F51</f>
        <v>3162</v>
      </c>
      <c r="G50" s="20">
        <f t="shared" si="2"/>
        <v>0</v>
      </c>
      <c r="H50" s="20">
        <f t="shared" si="2"/>
        <v>0</v>
      </c>
      <c r="I50" s="20">
        <f t="shared" si="2"/>
        <v>0</v>
      </c>
      <c r="J50" s="20"/>
    </row>
    <row r="51" spans="1:10" ht="14.25">
      <c r="A51" s="7" t="s">
        <v>88</v>
      </c>
      <c r="B51" s="8" t="s">
        <v>106</v>
      </c>
      <c r="C51" s="8" t="s">
        <v>188</v>
      </c>
      <c r="D51" s="8" t="s">
        <v>90</v>
      </c>
      <c r="E51" s="8" t="s">
        <v>76</v>
      </c>
      <c r="F51" s="20">
        <f>'Прилож №8'!G34</f>
        <v>3162</v>
      </c>
      <c r="G51" s="20">
        <f>'Прилож №8'!H34</f>
        <v>0</v>
      </c>
      <c r="H51" s="20">
        <f>'Прилож №8'!I34</f>
        <v>0</v>
      </c>
      <c r="I51" s="20">
        <f>'Прилож №8'!J34</f>
        <v>0</v>
      </c>
      <c r="J51" s="20"/>
    </row>
    <row r="52" spans="1:10" ht="15">
      <c r="A52" s="10" t="s">
        <v>48</v>
      </c>
      <c r="B52" s="11" t="s">
        <v>106</v>
      </c>
      <c r="C52" s="11" t="s">
        <v>187</v>
      </c>
      <c r="D52" s="11"/>
      <c r="E52" s="11"/>
      <c r="F52" s="19">
        <f>F53+F62+F58</f>
        <v>61307.4</v>
      </c>
      <c r="G52" s="19">
        <f>G53+G62+G58</f>
        <v>0</v>
      </c>
      <c r="H52" s="19">
        <f>H53+H62+H58</f>
        <v>57912.5</v>
      </c>
      <c r="I52" s="19">
        <f>I53+I62+I58</f>
        <v>0</v>
      </c>
      <c r="J52" s="37">
        <f>H52/F52*100</f>
        <v>94.46249555518584</v>
      </c>
    </row>
    <row r="53" spans="1:10" ht="42.75">
      <c r="A53" s="6" t="s">
        <v>153</v>
      </c>
      <c r="B53" s="8" t="s">
        <v>106</v>
      </c>
      <c r="C53" s="8" t="s">
        <v>187</v>
      </c>
      <c r="D53" s="8" t="s">
        <v>149</v>
      </c>
      <c r="E53" s="8"/>
      <c r="F53" s="20">
        <f>F54+F56</f>
        <v>30050.4</v>
      </c>
      <c r="G53" s="20">
        <f>G54+G56</f>
        <v>0</v>
      </c>
      <c r="H53" s="20">
        <f>H54+H56</f>
        <v>29403.2</v>
      </c>
      <c r="I53" s="20">
        <f>I54+I56</f>
        <v>0</v>
      </c>
      <c r="J53" s="20"/>
    </row>
    <row r="54" spans="1:10" ht="14.25">
      <c r="A54" s="7" t="s">
        <v>33</v>
      </c>
      <c r="B54" s="8" t="s">
        <v>106</v>
      </c>
      <c r="C54" s="8" t="s">
        <v>187</v>
      </c>
      <c r="D54" s="8" t="s">
        <v>151</v>
      </c>
      <c r="E54" s="8"/>
      <c r="F54" s="20">
        <f>F55</f>
        <v>30020</v>
      </c>
      <c r="G54" s="20">
        <f>G55</f>
        <v>0</v>
      </c>
      <c r="H54" s="20">
        <f>H55</f>
        <v>29385.9</v>
      </c>
      <c r="I54" s="20">
        <f>I55</f>
        <v>0</v>
      </c>
      <c r="J54" s="20"/>
    </row>
    <row r="55" spans="1:10" ht="14.25">
      <c r="A55" s="7" t="s">
        <v>86</v>
      </c>
      <c r="B55" s="8" t="s">
        <v>106</v>
      </c>
      <c r="C55" s="8" t="s">
        <v>187</v>
      </c>
      <c r="D55" s="8" t="s">
        <v>151</v>
      </c>
      <c r="E55" s="8" t="s">
        <v>150</v>
      </c>
      <c r="F55" s="20">
        <f>'Прилож №8'!G564+'Прилож №8'!G514</f>
        <v>30020</v>
      </c>
      <c r="G55" s="20">
        <f>'Прилож №8'!H564+'Прилож №8'!H514</f>
        <v>0</v>
      </c>
      <c r="H55" s="20">
        <f>'Прилож №8'!I564+'Прилож №8'!I514</f>
        <v>29385.9</v>
      </c>
      <c r="I55" s="20">
        <f>'Прилож №8'!J564+'Прилож №8'!J514</f>
        <v>0</v>
      </c>
      <c r="J55" s="20"/>
    </row>
    <row r="56" spans="1:10" ht="18.75" customHeight="1">
      <c r="A56" s="6" t="s">
        <v>228</v>
      </c>
      <c r="B56" s="8" t="s">
        <v>106</v>
      </c>
      <c r="C56" s="8" t="s">
        <v>187</v>
      </c>
      <c r="D56" s="8" t="s">
        <v>229</v>
      </c>
      <c r="E56" s="8"/>
      <c r="F56" s="20">
        <f>F57</f>
        <v>30.4</v>
      </c>
      <c r="G56" s="20">
        <f>G57</f>
        <v>0</v>
      </c>
      <c r="H56" s="20">
        <f>H57</f>
        <v>17.3</v>
      </c>
      <c r="I56" s="20">
        <f>I57</f>
        <v>0</v>
      </c>
      <c r="J56" s="20"/>
    </row>
    <row r="57" spans="1:10" ht="14.25">
      <c r="A57" s="7" t="s">
        <v>86</v>
      </c>
      <c r="B57" s="8" t="s">
        <v>106</v>
      </c>
      <c r="C57" s="8" t="s">
        <v>187</v>
      </c>
      <c r="D57" s="8" t="s">
        <v>229</v>
      </c>
      <c r="E57" s="8" t="s">
        <v>150</v>
      </c>
      <c r="F57" s="20">
        <f>'Прилож №8'!G566+'Прилож №8'!G516</f>
        <v>30.4</v>
      </c>
      <c r="G57" s="20">
        <f>'Прилож №8'!H566+'Прилож №8'!H516</f>
        <v>0</v>
      </c>
      <c r="H57" s="20">
        <f>'Прилож №8'!I566+'Прилож №8'!I516</f>
        <v>17.3</v>
      </c>
      <c r="I57" s="20">
        <f>'Прилож №8'!J566+'Прилож №8'!J516</f>
        <v>0</v>
      </c>
      <c r="J57" s="20"/>
    </row>
    <row r="58" spans="1:10" ht="28.5">
      <c r="A58" s="6" t="s">
        <v>121</v>
      </c>
      <c r="B58" s="8" t="s">
        <v>106</v>
      </c>
      <c r="C58" s="8" t="s">
        <v>187</v>
      </c>
      <c r="D58" s="8" t="s">
        <v>81</v>
      </c>
      <c r="E58" s="8"/>
      <c r="F58" s="20">
        <f>F59</f>
        <v>5271.7</v>
      </c>
      <c r="G58" s="20">
        <f>G59</f>
        <v>0</v>
      </c>
      <c r="H58" s="20">
        <f>H59</f>
        <v>4215.7</v>
      </c>
      <c r="I58" s="20">
        <f>I59</f>
        <v>0</v>
      </c>
      <c r="J58" s="20"/>
    </row>
    <row r="59" spans="1:10" ht="14.25">
      <c r="A59" s="7" t="s">
        <v>45</v>
      </c>
      <c r="B59" s="8" t="s">
        <v>106</v>
      </c>
      <c r="C59" s="8" t="s">
        <v>187</v>
      </c>
      <c r="D59" s="8" t="s">
        <v>120</v>
      </c>
      <c r="E59" s="8"/>
      <c r="F59" s="20">
        <f>F61+F60</f>
        <v>5271.7</v>
      </c>
      <c r="G59" s="20">
        <f>G61+G60</f>
        <v>0</v>
      </c>
      <c r="H59" s="20">
        <f>H61+H60</f>
        <v>4215.7</v>
      </c>
      <c r="I59" s="20">
        <f>I61+I60</f>
        <v>0</v>
      </c>
      <c r="J59" s="20"/>
    </row>
    <row r="60" spans="1:10" ht="14.25">
      <c r="A60" s="7" t="s">
        <v>88</v>
      </c>
      <c r="B60" s="8" t="s">
        <v>106</v>
      </c>
      <c r="C60" s="8" t="s">
        <v>187</v>
      </c>
      <c r="D60" s="8" t="s">
        <v>120</v>
      </c>
      <c r="E60" s="8" t="s">
        <v>76</v>
      </c>
      <c r="F60" s="20">
        <f>'Прилож №8'!G37</f>
        <v>231</v>
      </c>
      <c r="G60" s="20">
        <f>'Прилож №8'!H37</f>
        <v>0</v>
      </c>
      <c r="H60" s="20">
        <f>'Прилож №8'!I37</f>
        <v>231.1</v>
      </c>
      <c r="I60" s="20">
        <f>'Прилож №8'!J37</f>
        <v>0</v>
      </c>
      <c r="J60" s="20"/>
    </row>
    <row r="61" spans="1:10" ht="14.25">
      <c r="A61" s="7" t="s">
        <v>86</v>
      </c>
      <c r="B61" s="8" t="s">
        <v>106</v>
      </c>
      <c r="C61" s="8" t="s">
        <v>187</v>
      </c>
      <c r="D61" s="8" t="s">
        <v>120</v>
      </c>
      <c r="E61" s="8" t="s">
        <v>150</v>
      </c>
      <c r="F61" s="20">
        <f>'Прилож №8'!G569+'Прилож №8'!G38</f>
        <v>5040.7</v>
      </c>
      <c r="G61" s="20">
        <f>'Прилож №8'!H569+'Прилож №8'!H38</f>
        <v>0</v>
      </c>
      <c r="H61" s="20">
        <f>'Прилож №8'!I569+'Прилож №8'!I38</f>
        <v>3984.6</v>
      </c>
      <c r="I61" s="20">
        <f>'Прилож №8'!J569+'Прилож №8'!J38</f>
        <v>0</v>
      </c>
      <c r="J61" s="20"/>
    </row>
    <row r="62" spans="1:10" ht="14.25">
      <c r="A62" s="7" t="s">
        <v>78</v>
      </c>
      <c r="B62" s="8" t="s">
        <v>106</v>
      </c>
      <c r="C62" s="8" t="s">
        <v>187</v>
      </c>
      <c r="D62" s="8" t="s">
        <v>79</v>
      </c>
      <c r="E62" s="8"/>
      <c r="F62" s="20">
        <f>F64+F66</f>
        <v>25985.300000000003</v>
      </c>
      <c r="G62" s="20">
        <f>G64+G66</f>
        <v>0</v>
      </c>
      <c r="H62" s="20">
        <f>H64+H66</f>
        <v>24293.6</v>
      </c>
      <c r="I62" s="20">
        <f>I64+I66</f>
        <v>0</v>
      </c>
      <c r="J62" s="20"/>
    </row>
    <row r="63" spans="1:10" ht="42.75">
      <c r="A63" s="6" t="s">
        <v>200</v>
      </c>
      <c r="B63" s="8" t="s">
        <v>106</v>
      </c>
      <c r="C63" s="8" t="s">
        <v>187</v>
      </c>
      <c r="D63" s="8" t="s">
        <v>128</v>
      </c>
      <c r="E63" s="8"/>
      <c r="F63" s="20">
        <f>F64</f>
        <v>18830.300000000003</v>
      </c>
      <c r="G63" s="20">
        <f>G64</f>
        <v>0</v>
      </c>
      <c r="H63" s="20">
        <f>H64</f>
        <v>17306.8</v>
      </c>
      <c r="I63" s="20">
        <f>I64</f>
        <v>0</v>
      </c>
      <c r="J63" s="20"/>
    </row>
    <row r="64" spans="1:10" ht="14.25">
      <c r="A64" s="7" t="s">
        <v>86</v>
      </c>
      <c r="B64" s="8" t="s">
        <v>106</v>
      </c>
      <c r="C64" s="8" t="s">
        <v>187</v>
      </c>
      <c r="D64" s="8" t="s">
        <v>128</v>
      </c>
      <c r="E64" s="8" t="s">
        <v>150</v>
      </c>
      <c r="F64" s="20">
        <f>'Прилож №8'!G41+'Прилож №8'!G558+'Прилож №8'!G572+'Прилож №8'!G508+'Прилож №8'!G519+'Прилож №8'!G625</f>
        <v>18830.300000000003</v>
      </c>
      <c r="G64" s="20">
        <f>'Прилож №8'!H41+'Прилож №8'!H558+'Прилож №8'!H572+'Прилож №8'!H508+'Прилож №8'!H519+'Прилож №8'!H625</f>
        <v>0</v>
      </c>
      <c r="H64" s="20">
        <f>'Прилож №8'!I41+'Прилож №8'!I558+'Прилож №8'!I572+'Прилож №8'!I508+'Прилож №8'!I519+'Прилож №8'!I625</f>
        <v>17306.8</v>
      </c>
      <c r="I64" s="20">
        <f>'Прилож №8'!J41+'Прилож №8'!J558+'Прилож №8'!J572+'Прилож №8'!J508+'Прилож №8'!J519+'Прилож №8'!J625</f>
        <v>0</v>
      </c>
      <c r="J64" s="20"/>
    </row>
    <row r="65" spans="1:10" ht="85.5">
      <c r="A65" s="14" t="s">
        <v>201</v>
      </c>
      <c r="B65" s="8" t="s">
        <v>106</v>
      </c>
      <c r="C65" s="8" t="s">
        <v>187</v>
      </c>
      <c r="D65" s="8" t="s">
        <v>202</v>
      </c>
      <c r="E65" s="8"/>
      <c r="F65" s="20">
        <f>F66</f>
        <v>7155</v>
      </c>
      <c r="G65" s="20">
        <f>G66</f>
        <v>0</v>
      </c>
      <c r="H65" s="20">
        <f>H66</f>
        <v>6986.8</v>
      </c>
      <c r="I65" s="20">
        <f>I66</f>
        <v>0</v>
      </c>
      <c r="J65" s="20"/>
    </row>
    <row r="66" spans="1:10" ht="14.25">
      <c r="A66" s="7" t="s">
        <v>86</v>
      </c>
      <c r="B66" s="8" t="s">
        <v>106</v>
      </c>
      <c r="C66" s="8" t="s">
        <v>187</v>
      </c>
      <c r="D66" s="8" t="s">
        <v>202</v>
      </c>
      <c r="E66" s="8" t="s">
        <v>150</v>
      </c>
      <c r="F66" s="20">
        <f>'Прилож №8'!G43+'Прилож №8'!G521</f>
        <v>7155</v>
      </c>
      <c r="G66" s="20">
        <f>'Прилож №8'!H43+'Прилож №8'!H521</f>
        <v>0</v>
      </c>
      <c r="H66" s="20">
        <f>'Прилож №8'!I43+'Прилож №8'!I521</f>
        <v>6986.8</v>
      </c>
      <c r="I66" s="20">
        <f>'Прилож №8'!J43+'Прилож №8'!J521</f>
        <v>0</v>
      </c>
      <c r="J66" s="20"/>
    </row>
    <row r="67" spans="1:10" ht="15">
      <c r="A67" s="10" t="s">
        <v>49</v>
      </c>
      <c r="B67" s="11" t="s">
        <v>107</v>
      </c>
      <c r="C67" s="11"/>
      <c r="D67" s="11"/>
      <c r="E67" s="11"/>
      <c r="F67" s="19">
        <f>F72+F68</f>
        <v>4237.9</v>
      </c>
      <c r="G67" s="19">
        <f>G72+G68</f>
        <v>4096</v>
      </c>
      <c r="H67" s="19">
        <f>H72+H68</f>
        <v>3853.9</v>
      </c>
      <c r="I67" s="19">
        <f>I72+I68</f>
        <v>3712</v>
      </c>
      <c r="J67" s="37">
        <f>H67/F67*100</f>
        <v>90.93890842162394</v>
      </c>
    </row>
    <row r="68" spans="1:10" ht="15">
      <c r="A68" s="7" t="s">
        <v>357</v>
      </c>
      <c r="B68" s="8" t="s">
        <v>107</v>
      </c>
      <c r="C68" s="8" t="s">
        <v>111</v>
      </c>
      <c r="D68" s="8"/>
      <c r="E68" s="11"/>
      <c r="F68" s="20">
        <f aca="true" t="shared" si="3" ref="F68:I70">F69</f>
        <v>4096</v>
      </c>
      <c r="G68" s="20">
        <f t="shared" si="3"/>
        <v>4096</v>
      </c>
      <c r="H68" s="20">
        <f t="shared" si="3"/>
        <v>3712</v>
      </c>
      <c r="I68" s="20">
        <f t="shared" si="3"/>
        <v>3712</v>
      </c>
      <c r="J68" s="20"/>
    </row>
    <row r="69" spans="1:10" ht="15">
      <c r="A69" s="6" t="s">
        <v>220</v>
      </c>
      <c r="B69" s="8" t="s">
        <v>107</v>
      </c>
      <c r="C69" s="8" t="s">
        <v>111</v>
      </c>
      <c r="D69" s="8" t="s">
        <v>221</v>
      </c>
      <c r="E69" s="11"/>
      <c r="F69" s="20">
        <f t="shared" si="3"/>
        <v>4096</v>
      </c>
      <c r="G69" s="20">
        <f t="shared" si="3"/>
        <v>4096</v>
      </c>
      <c r="H69" s="20">
        <f t="shared" si="3"/>
        <v>3712</v>
      </c>
      <c r="I69" s="20">
        <f t="shared" si="3"/>
        <v>3712</v>
      </c>
      <c r="J69" s="20"/>
    </row>
    <row r="70" spans="1:10" ht="29.25">
      <c r="A70" s="6" t="s">
        <v>227</v>
      </c>
      <c r="B70" s="8" t="s">
        <v>107</v>
      </c>
      <c r="C70" s="8" t="s">
        <v>111</v>
      </c>
      <c r="D70" s="8" t="s">
        <v>226</v>
      </c>
      <c r="E70" s="11"/>
      <c r="F70" s="20">
        <f t="shared" si="3"/>
        <v>4096</v>
      </c>
      <c r="G70" s="20">
        <f t="shared" si="3"/>
        <v>4096</v>
      </c>
      <c r="H70" s="20">
        <f t="shared" si="3"/>
        <v>3712</v>
      </c>
      <c r="I70" s="20">
        <f t="shared" si="3"/>
        <v>3712</v>
      </c>
      <c r="J70" s="20"/>
    </row>
    <row r="71" spans="1:10" ht="14.25">
      <c r="A71" s="7" t="s">
        <v>299</v>
      </c>
      <c r="B71" s="8" t="s">
        <v>107</v>
      </c>
      <c r="C71" s="8" t="s">
        <v>111</v>
      </c>
      <c r="D71" s="8" t="s">
        <v>226</v>
      </c>
      <c r="E71" s="8" t="s">
        <v>300</v>
      </c>
      <c r="F71" s="20">
        <f>'Прилож №8'!G48</f>
        <v>4096</v>
      </c>
      <c r="G71" s="20">
        <f>'Прилож №8'!H48</f>
        <v>4096</v>
      </c>
      <c r="H71" s="20">
        <f>'Прилож №8'!I48</f>
        <v>3712</v>
      </c>
      <c r="I71" s="20">
        <f>'Прилож №8'!J48</f>
        <v>3712</v>
      </c>
      <c r="J71" s="20"/>
    </row>
    <row r="72" spans="1:10" ht="15">
      <c r="A72" s="10" t="s">
        <v>50</v>
      </c>
      <c r="B72" s="11" t="s">
        <v>107</v>
      </c>
      <c r="C72" s="11" t="s">
        <v>108</v>
      </c>
      <c r="D72" s="11"/>
      <c r="E72" s="11"/>
      <c r="F72" s="19">
        <f>F73</f>
        <v>141.9</v>
      </c>
      <c r="G72" s="19">
        <f>G73</f>
        <v>0</v>
      </c>
      <c r="H72" s="19">
        <f>H73</f>
        <v>141.9</v>
      </c>
      <c r="I72" s="19">
        <f>I73</f>
        <v>0</v>
      </c>
      <c r="J72" s="20"/>
    </row>
    <row r="73" spans="1:10" ht="28.5">
      <c r="A73" s="6" t="s">
        <v>64</v>
      </c>
      <c r="B73" s="8" t="s">
        <v>107</v>
      </c>
      <c r="C73" s="8" t="s">
        <v>108</v>
      </c>
      <c r="D73" s="8" t="s">
        <v>51</v>
      </c>
      <c r="E73" s="8"/>
      <c r="F73" s="20">
        <f>F74</f>
        <v>141.9</v>
      </c>
      <c r="G73" s="20">
        <f aca="true" t="shared" si="4" ref="G73:I74">G74</f>
        <v>0</v>
      </c>
      <c r="H73" s="20">
        <f t="shared" si="4"/>
        <v>141.9</v>
      </c>
      <c r="I73" s="20">
        <f t="shared" si="4"/>
        <v>0</v>
      </c>
      <c r="J73" s="20"/>
    </row>
    <row r="74" spans="1:10" ht="30.75" customHeight="1">
      <c r="A74" s="6" t="s">
        <v>65</v>
      </c>
      <c r="B74" s="8" t="s">
        <v>107</v>
      </c>
      <c r="C74" s="8" t="s">
        <v>108</v>
      </c>
      <c r="D74" s="8" t="s">
        <v>91</v>
      </c>
      <c r="E74" s="8"/>
      <c r="F74" s="20">
        <f>F75</f>
        <v>141.9</v>
      </c>
      <c r="G74" s="20">
        <f t="shared" si="4"/>
        <v>0</v>
      </c>
      <c r="H74" s="20">
        <f t="shared" si="4"/>
        <v>141.9</v>
      </c>
      <c r="I74" s="20">
        <f t="shared" si="4"/>
        <v>0</v>
      </c>
      <c r="J74" s="20"/>
    </row>
    <row r="75" spans="1:10" ht="15" customHeight="1">
      <c r="A75" s="7" t="s">
        <v>86</v>
      </c>
      <c r="B75" s="8" t="s">
        <v>107</v>
      </c>
      <c r="C75" s="8" t="s">
        <v>108</v>
      </c>
      <c r="D75" s="8" t="s">
        <v>91</v>
      </c>
      <c r="E75" s="8" t="s">
        <v>150</v>
      </c>
      <c r="F75" s="20">
        <f>'Прилож №8'!G52</f>
        <v>141.9</v>
      </c>
      <c r="G75" s="20">
        <f>'Прилож №8'!H52</f>
        <v>0</v>
      </c>
      <c r="H75" s="20">
        <f>'Прилож №8'!I52</f>
        <v>141.9</v>
      </c>
      <c r="I75" s="20">
        <f>'Прилож №8'!J52</f>
        <v>0</v>
      </c>
      <c r="J75" s="20"/>
    </row>
    <row r="76" spans="1:11" s="21" customFormat="1" ht="32.25" customHeight="1">
      <c r="A76" s="35" t="s">
        <v>71</v>
      </c>
      <c r="B76" s="23" t="s">
        <v>111</v>
      </c>
      <c r="C76" s="23"/>
      <c r="D76" s="23"/>
      <c r="E76" s="11"/>
      <c r="F76" s="22">
        <f>F77+F81</f>
        <v>6824.1</v>
      </c>
      <c r="G76" s="22">
        <f>G77+G81</f>
        <v>0</v>
      </c>
      <c r="H76" s="22">
        <f>H77+H81</f>
        <v>5793.200000000001</v>
      </c>
      <c r="I76" s="22">
        <f>I77+I81</f>
        <v>0</v>
      </c>
      <c r="J76" s="37">
        <f>H76/F76*100</f>
        <v>84.89324599580897</v>
      </c>
      <c r="K76" s="53"/>
    </row>
    <row r="77" spans="1:10" ht="52.5" customHeight="1">
      <c r="A77" s="35" t="s">
        <v>93</v>
      </c>
      <c r="B77" s="11" t="s">
        <v>111</v>
      </c>
      <c r="C77" s="11" t="s">
        <v>112</v>
      </c>
      <c r="D77" s="11"/>
      <c r="E77" s="11"/>
      <c r="F77" s="19">
        <f>F80</f>
        <v>2200.1</v>
      </c>
      <c r="G77" s="19">
        <f>G80</f>
        <v>0</v>
      </c>
      <c r="H77" s="19">
        <f>H80</f>
        <v>2151.3</v>
      </c>
      <c r="I77" s="19">
        <f>I80</f>
        <v>0</v>
      </c>
      <c r="J77" s="20"/>
    </row>
    <row r="78" spans="1:10" ht="27" customHeight="1">
      <c r="A78" s="6" t="s">
        <v>82</v>
      </c>
      <c r="B78" s="8" t="s">
        <v>111</v>
      </c>
      <c r="C78" s="8" t="s">
        <v>112</v>
      </c>
      <c r="D78" s="8" t="s">
        <v>83</v>
      </c>
      <c r="E78" s="8"/>
      <c r="F78" s="20">
        <f aca="true" t="shared" si="5" ref="F78:I79">F79</f>
        <v>2200.1</v>
      </c>
      <c r="G78" s="20">
        <f t="shared" si="5"/>
        <v>0</v>
      </c>
      <c r="H78" s="20">
        <f t="shared" si="5"/>
        <v>2151.3</v>
      </c>
      <c r="I78" s="20">
        <f t="shared" si="5"/>
        <v>0</v>
      </c>
      <c r="J78" s="20"/>
    </row>
    <row r="79" spans="1:10" ht="51" customHeight="1">
      <c r="A79" s="6" t="s">
        <v>84</v>
      </c>
      <c r="B79" s="8" t="s">
        <v>111</v>
      </c>
      <c r="C79" s="8" t="s">
        <v>112</v>
      </c>
      <c r="D79" s="8" t="s">
        <v>94</v>
      </c>
      <c r="E79" s="8"/>
      <c r="F79" s="20">
        <f t="shared" si="5"/>
        <v>2200.1</v>
      </c>
      <c r="G79" s="20">
        <f t="shared" si="5"/>
        <v>0</v>
      </c>
      <c r="H79" s="20">
        <f t="shared" si="5"/>
        <v>2151.3</v>
      </c>
      <c r="I79" s="20">
        <f t="shared" si="5"/>
        <v>0</v>
      </c>
      <c r="J79" s="20"/>
    </row>
    <row r="80" spans="1:10" ht="18" customHeight="1">
      <c r="A80" s="7" t="s">
        <v>86</v>
      </c>
      <c r="B80" s="8" t="s">
        <v>111</v>
      </c>
      <c r="C80" s="8" t="s">
        <v>112</v>
      </c>
      <c r="D80" s="8" t="s">
        <v>94</v>
      </c>
      <c r="E80" s="8" t="s">
        <v>150</v>
      </c>
      <c r="F80" s="20">
        <f>'Прилож №8'!G57</f>
        <v>2200.1</v>
      </c>
      <c r="G80" s="20">
        <f>'Прилож №8'!H57</f>
        <v>0</v>
      </c>
      <c r="H80" s="20">
        <f>'Прилож №8'!I57</f>
        <v>2151.3</v>
      </c>
      <c r="I80" s="20">
        <f>'Прилож №8'!J57</f>
        <v>0</v>
      </c>
      <c r="J80" s="20"/>
    </row>
    <row r="81" spans="1:10" ht="30">
      <c r="A81" s="35" t="s">
        <v>66</v>
      </c>
      <c r="B81" s="11" t="s">
        <v>111</v>
      </c>
      <c r="C81" s="11" t="s">
        <v>110</v>
      </c>
      <c r="D81" s="11"/>
      <c r="E81" s="11"/>
      <c r="F81" s="19">
        <f>F83+F86</f>
        <v>4624</v>
      </c>
      <c r="G81" s="19">
        <f>G83+G86</f>
        <v>0</v>
      </c>
      <c r="H81" s="19">
        <f>H83+H86</f>
        <v>3641.9</v>
      </c>
      <c r="I81" s="19">
        <f>I83+I86</f>
        <v>0</v>
      </c>
      <c r="J81" s="37">
        <f>H81/F81*100</f>
        <v>78.76081314878893</v>
      </c>
    </row>
    <row r="82" spans="1:10" ht="13.5" customHeight="1">
      <c r="A82" s="7" t="s">
        <v>78</v>
      </c>
      <c r="B82" s="8" t="s">
        <v>111</v>
      </c>
      <c r="C82" s="8" t="s">
        <v>110</v>
      </c>
      <c r="D82" s="8" t="s">
        <v>79</v>
      </c>
      <c r="E82" s="8"/>
      <c r="F82" s="20">
        <f>F83+F86</f>
        <v>4624</v>
      </c>
      <c r="G82" s="20">
        <f>G83+G86</f>
        <v>0</v>
      </c>
      <c r="H82" s="20">
        <f>H83+H86</f>
        <v>3641.9</v>
      </c>
      <c r="I82" s="20">
        <f>I83+I86</f>
        <v>0</v>
      </c>
      <c r="J82" s="20"/>
    </row>
    <row r="83" spans="1:10" ht="48" customHeight="1">
      <c r="A83" s="40" t="s">
        <v>243</v>
      </c>
      <c r="B83" s="8" t="s">
        <v>111</v>
      </c>
      <c r="C83" s="8" t="s">
        <v>110</v>
      </c>
      <c r="D83" s="8" t="s">
        <v>142</v>
      </c>
      <c r="E83" s="8"/>
      <c r="F83" s="20">
        <f>F84+F85</f>
        <v>2612</v>
      </c>
      <c r="G83" s="20">
        <f>G84+G85</f>
        <v>0</v>
      </c>
      <c r="H83" s="20">
        <f>H84+H85</f>
        <v>1707.4</v>
      </c>
      <c r="I83" s="20">
        <f>I84+I85</f>
        <v>0</v>
      </c>
      <c r="J83" s="20"/>
    </row>
    <row r="84" spans="1:10" ht="18" customHeight="1">
      <c r="A84" s="7" t="s">
        <v>147</v>
      </c>
      <c r="B84" s="8" t="s">
        <v>111</v>
      </c>
      <c r="C84" s="8" t="s">
        <v>110</v>
      </c>
      <c r="D84" s="8" t="s">
        <v>142</v>
      </c>
      <c r="E84" s="8" t="s">
        <v>148</v>
      </c>
      <c r="F84" s="20">
        <f>'Прилож №8'!G278</f>
        <v>550</v>
      </c>
      <c r="G84" s="20">
        <f>'Прилож №8'!H278</f>
        <v>0</v>
      </c>
      <c r="H84" s="20">
        <f>'Прилож №8'!I278</f>
        <v>548.4</v>
      </c>
      <c r="I84" s="20">
        <f>'Прилож №8'!J278</f>
        <v>0</v>
      </c>
      <c r="J84" s="20"/>
    </row>
    <row r="85" spans="1:10" ht="14.25" customHeight="1">
      <c r="A85" s="7" t="s">
        <v>86</v>
      </c>
      <c r="B85" s="8" t="s">
        <v>111</v>
      </c>
      <c r="C85" s="8" t="s">
        <v>110</v>
      </c>
      <c r="D85" s="8" t="s">
        <v>142</v>
      </c>
      <c r="E85" s="8" t="s">
        <v>150</v>
      </c>
      <c r="F85" s="20">
        <f>'Прилож №8'!G61+'Прилож №8'!G526</f>
        <v>2062</v>
      </c>
      <c r="G85" s="20">
        <f>'Прилож №8'!H61+'Прилож №8'!H526</f>
        <v>0</v>
      </c>
      <c r="H85" s="20">
        <f>'Прилож №8'!I61+'Прилож №8'!I526</f>
        <v>1159</v>
      </c>
      <c r="I85" s="20">
        <f>'Прилож №8'!J61+'Прилож №8'!J526</f>
        <v>0</v>
      </c>
      <c r="J85" s="20"/>
    </row>
    <row r="86" spans="1:10" ht="45" customHeight="1">
      <c r="A86" s="6" t="s">
        <v>252</v>
      </c>
      <c r="B86" s="8" t="s">
        <v>111</v>
      </c>
      <c r="C86" s="8" t="s">
        <v>110</v>
      </c>
      <c r="D86" s="8" t="s">
        <v>199</v>
      </c>
      <c r="E86" s="8"/>
      <c r="F86" s="20">
        <f>F87</f>
        <v>2012</v>
      </c>
      <c r="G86" s="20">
        <f>G87</f>
        <v>0</v>
      </c>
      <c r="H86" s="20">
        <f>H87</f>
        <v>1934.5</v>
      </c>
      <c r="I86" s="20">
        <f>I87</f>
        <v>0</v>
      </c>
      <c r="J86" s="20"/>
    </row>
    <row r="87" spans="1:10" ht="15" customHeight="1">
      <c r="A87" s="7" t="s">
        <v>86</v>
      </c>
      <c r="B87" s="8" t="s">
        <v>111</v>
      </c>
      <c r="C87" s="8" t="s">
        <v>110</v>
      </c>
      <c r="D87" s="8" t="s">
        <v>199</v>
      </c>
      <c r="E87" s="8" t="s">
        <v>150</v>
      </c>
      <c r="F87" s="20">
        <f>'Прилож №8'!G63</f>
        <v>2012</v>
      </c>
      <c r="G87" s="20">
        <f>'Прилож №8'!H63</f>
        <v>0</v>
      </c>
      <c r="H87" s="20">
        <f>'Прилож №8'!I63</f>
        <v>1934.5</v>
      </c>
      <c r="I87" s="20">
        <f>'Прилож №8'!J63</f>
        <v>0</v>
      </c>
      <c r="J87" s="20"/>
    </row>
    <row r="88" spans="1:10" ht="15">
      <c r="A88" s="10" t="s">
        <v>38</v>
      </c>
      <c r="B88" s="11" t="s">
        <v>108</v>
      </c>
      <c r="C88" s="11"/>
      <c r="D88" s="11"/>
      <c r="E88" s="11"/>
      <c r="F88" s="19">
        <f>F89+F94+F105</f>
        <v>118894.6</v>
      </c>
      <c r="G88" s="19">
        <f>G89+G94+G105</f>
        <v>44217.4</v>
      </c>
      <c r="H88" s="19">
        <f>H89+H94+H105</f>
        <v>114835.2</v>
      </c>
      <c r="I88" s="19">
        <f>I89+I94+I105</f>
        <v>41150</v>
      </c>
      <c r="J88" s="37">
        <f>H88/F88*100</f>
        <v>96.58571541516604</v>
      </c>
    </row>
    <row r="89" spans="1:11" s="18" customFormat="1" ht="15.75" customHeight="1">
      <c r="A89" s="10" t="s">
        <v>60</v>
      </c>
      <c r="B89" s="11" t="s">
        <v>108</v>
      </c>
      <c r="C89" s="11" t="s">
        <v>115</v>
      </c>
      <c r="D89" s="11"/>
      <c r="E89" s="11"/>
      <c r="F89" s="19">
        <f>F90</f>
        <v>15500</v>
      </c>
      <c r="G89" s="19">
        <f>G90</f>
        <v>0</v>
      </c>
      <c r="H89" s="19">
        <f>H90</f>
        <v>15500</v>
      </c>
      <c r="I89" s="19">
        <f>I90</f>
        <v>0</v>
      </c>
      <c r="J89" s="37">
        <f>H89/F89*100</f>
        <v>100</v>
      </c>
      <c r="K89" s="32"/>
    </row>
    <row r="90" spans="1:10" ht="15.75" customHeight="1">
      <c r="A90" s="7" t="s">
        <v>96</v>
      </c>
      <c r="B90" s="8" t="s">
        <v>108</v>
      </c>
      <c r="C90" s="8" t="s">
        <v>115</v>
      </c>
      <c r="D90" s="8" t="s">
        <v>97</v>
      </c>
      <c r="E90" s="8"/>
      <c r="F90" s="20">
        <f>F91</f>
        <v>15500</v>
      </c>
      <c r="G90" s="20">
        <f aca="true" t="shared" si="6" ref="G90:I92">G91</f>
        <v>0</v>
      </c>
      <c r="H90" s="20">
        <f t="shared" si="6"/>
        <v>15500</v>
      </c>
      <c r="I90" s="20">
        <f t="shared" si="6"/>
        <v>0</v>
      </c>
      <c r="J90" s="20"/>
    </row>
    <row r="91" spans="1:10" ht="15.75" customHeight="1">
      <c r="A91" s="7" t="s">
        <v>98</v>
      </c>
      <c r="B91" s="8" t="s">
        <v>108</v>
      </c>
      <c r="C91" s="8" t="s">
        <v>115</v>
      </c>
      <c r="D91" s="8" t="s">
        <v>99</v>
      </c>
      <c r="E91" s="8"/>
      <c r="F91" s="20">
        <f>F92</f>
        <v>15500</v>
      </c>
      <c r="G91" s="20">
        <f t="shared" si="6"/>
        <v>0</v>
      </c>
      <c r="H91" s="20">
        <f t="shared" si="6"/>
        <v>15500</v>
      </c>
      <c r="I91" s="20">
        <f t="shared" si="6"/>
        <v>0</v>
      </c>
      <c r="J91" s="20"/>
    </row>
    <row r="92" spans="1:10" ht="41.25" customHeight="1">
      <c r="A92" s="6" t="s">
        <v>100</v>
      </c>
      <c r="B92" s="8" t="s">
        <v>108</v>
      </c>
      <c r="C92" s="8" t="s">
        <v>115</v>
      </c>
      <c r="D92" s="8" t="s">
        <v>101</v>
      </c>
      <c r="E92" s="8"/>
      <c r="F92" s="20">
        <f>F93</f>
        <v>15500</v>
      </c>
      <c r="G92" s="20">
        <f t="shared" si="6"/>
        <v>0</v>
      </c>
      <c r="H92" s="20">
        <f t="shared" si="6"/>
        <v>15500</v>
      </c>
      <c r="I92" s="20">
        <f t="shared" si="6"/>
        <v>0</v>
      </c>
      <c r="J92" s="20"/>
    </row>
    <row r="93" spans="1:10" ht="15.75" customHeight="1">
      <c r="A93" s="7" t="s">
        <v>86</v>
      </c>
      <c r="B93" s="8" t="s">
        <v>108</v>
      </c>
      <c r="C93" s="8" t="s">
        <v>115</v>
      </c>
      <c r="D93" s="8" t="s">
        <v>101</v>
      </c>
      <c r="E93" s="8" t="s">
        <v>150</v>
      </c>
      <c r="F93" s="20">
        <f>'Прилож №8'!G69</f>
        <v>15500</v>
      </c>
      <c r="G93" s="20">
        <f>'Прилож №8'!H69</f>
        <v>0</v>
      </c>
      <c r="H93" s="20">
        <f>'Прилож №8'!I69</f>
        <v>15500</v>
      </c>
      <c r="I93" s="20">
        <f>'Прилож №8'!J69</f>
        <v>0</v>
      </c>
      <c r="J93" s="20"/>
    </row>
    <row r="94" spans="1:11" s="18" customFormat="1" ht="15.75" customHeight="1">
      <c r="A94" s="10" t="s">
        <v>61</v>
      </c>
      <c r="B94" s="11" t="s">
        <v>108</v>
      </c>
      <c r="C94" s="11" t="s">
        <v>112</v>
      </c>
      <c r="D94" s="11"/>
      <c r="E94" s="11"/>
      <c r="F94" s="19">
        <f>F95+F99</f>
        <v>40043</v>
      </c>
      <c r="G94" s="19">
        <f>G95+G99</f>
        <v>40000</v>
      </c>
      <c r="H94" s="19">
        <f>H95+H99</f>
        <v>40043</v>
      </c>
      <c r="I94" s="19">
        <f>I95+I99</f>
        <v>40000</v>
      </c>
      <c r="J94" s="37">
        <f>H94/F94*100</f>
        <v>100</v>
      </c>
      <c r="K94" s="32"/>
    </row>
    <row r="95" spans="1:10" ht="15.75" customHeight="1">
      <c r="A95" s="7" t="s">
        <v>61</v>
      </c>
      <c r="B95" s="8" t="s">
        <v>108</v>
      </c>
      <c r="C95" s="8" t="s">
        <v>112</v>
      </c>
      <c r="D95" s="8" t="s">
        <v>116</v>
      </c>
      <c r="E95" s="8"/>
      <c r="F95" s="20">
        <f>F96</f>
        <v>43</v>
      </c>
      <c r="G95" s="20">
        <f>G96</f>
        <v>0</v>
      </c>
      <c r="H95" s="20">
        <f>H96</f>
        <v>43</v>
      </c>
      <c r="I95" s="20">
        <f>I96</f>
        <v>0</v>
      </c>
      <c r="J95" s="20"/>
    </row>
    <row r="96" spans="1:10" ht="15.75" customHeight="1">
      <c r="A96" s="7" t="s">
        <v>117</v>
      </c>
      <c r="B96" s="8" t="s">
        <v>108</v>
      </c>
      <c r="C96" s="8" t="s">
        <v>112</v>
      </c>
      <c r="D96" s="8" t="s">
        <v>118</v>
      </c>
      <c r="E96" s="8"/>
      <c r="F96" s="20">
        <f>F97</f>
        <v>43</v>
      </c>
      <c r="G96" s="20">
        <f aca="true" t="shared" si="7" ref="G96:I97">G97</f>
        <v>0</v>
      </c>
      <c r="H96" s="20">
        <f t="shared" si="7"/>
        <v>43</v>
      </c>
      <c r="I96" s="20">
        <f t="shared" si="7"/>
        <v>0</v>
      </c>
      <c r="J96" s="20"/>
    </row>
    <row r="97" spans="1:10" ht="15.75" customHeight="1">
      <c r="A97" s="7" t="s">
        <v>159</v>
      </c>
      <c r="B97" s="8" t="s">
        <v>108</v>
      </c>
      <c r="C97" s="8" t="s">
        <v>112</v>
      </c>
      <c r="D97" s="8" t="s">
        <v>160</v>
      </c>
      <c r="E97" s="8"/>
      <c r="F97" s="20">
        <f>F98</f>
        <v>43</v>
      </c>
      <c r="G97" s="20">
        <f t="shared" si="7"/>
        <v>0</v>
      </c>
      <c r="H97" s="20">
        <f t="shared" si="7"/>
        <v>43</v>
      </c>
      <c r="I97" s="20">
        <f t="shared" si="7"/>
        <v>0</v>
      </c>
      <c r="J97" s="20"/>
    </row>
    <row r="98" spans="1:10" ht="15.75" customHeight="1">
      <c r="A98" s="7" t="s">
        <v>86</v>
      </c>
      <c r="B98" s="8" t="s">
        <v>108</v>
      </c>
      <c r="C98" s="8" t="s">
        <v>112</v>
      </c>
      <c r="D98" s="8" t="s">
        <v>160</v>
      </c>
      <c r="E98" s="8" t="s">
        <v>150</v>
      </c>
      <c r="F98" s="20">
        <f>'Прилож №8'!G74+'Прилож №8'!G532</f>
        <v>43</v>
      </c>
      <c r="G98" s="20">
        <f>'Прилож №8'!H74+'Прилож №8'!H532</f>
        <v>0</v>
      </c>
      <c r="H98" s="20">
        <f>'Прилож №8'!I74+'Прилож №8'!I532</f>
        <v>43</v>
      </c>
      <c r="I98" s="20">
        <f>'Прилож №8'!J74+'Прилож №8'!J532</f>
        <v>0</v>
      </c>
      <c r="J98" s="20"/>
    </row>
    <row r="99" spans="1:10" ht="18.75" customHeight="1">
      <c r="A99" s="7" t="s">
        <v>219</v>
      </c>
      <c r="B99" s="8" t="s">
        <v>108</v>
      </c>
      <c r="C99" s="8" t="s">
        <v>112</v>
      </c>
      <c r="D99" s="8" t="s">
        <v>218</v>
      </c>
      <c r="E99" s="8"/>
      <c r="F99" s="20">
        <f>F100</f>
        <v>40000</v>
      </c>
      <c r="G99" s="20">
        <f>G100</f>
        <v>40000</v>
      </c>
      <c r="H99" s="20">
        <f>H100</f>
        <v>40000</v>
      </c>
      <c r="I99" s="20">
        <f>I100</f>
        <v>40000</v>
      </c>
      <c r="J99" s="20"/>
    </row>
    <row r="100" spans="1:10" ht="30.75" customHeight="1">
      <c r="A100" s="6" t="s">
        <v>365</v>
      </c>
      <c r="B100" s="8" t="s">
        <v>108</v>
      </c>
      <c r="C100" s="8" t="s">
        <v>112</v>
      </c>
      <c r="D100" s="8" t="s">
        <v>364</v>
      </c>
      <c r="E100" s="8"/>
      <c r="F100" s="20">
        <f>F102+F104</f>
        <v>40000</v>
      </c>
      <c r="G100" s="20">
        <f>G102+G104</f>
        <v>40000</v>
      </c>
      <c r="H100" s="20">
        <f>H102+H104</f>
        <v>40000</v>
      </c>
      <c r="I100" s="20">
        <f>I102+I104</f>
        <v>40000</v>
      </c>
      <c r="J100" s="20"/>
    </row>
    <row r="101" spans="1:10" ht="34.5" customHeight="1">
      <c r="A101" s="6" t="s">
        <v>401</v>
      </c>
      <c r="B101" s="8" t="s">
        <v>108</v>
      </c>
      <c r="C101" s="8" t="s">
        <v>112</v>
      </c>
      <c r="D101" s="8" t="s">
        <v>398</v>
      </c>
      <c r="E101" s="8"/>
      <c r="F101" s="20">
        <f>F102</f>
        <v>20000</v>
      </c>
      <c r="G101" s="20">
        <f>G102</f>
        <v>20000</v>
      </c>
      <c r="H101" s="20">
        <f>H102</f>
        <v>20000</v>
      </c>
      <c r="I101" s="20">
        <f>I102</f>
        <v>20000</v>
      </c>
      <c r="J101" s="20"/>
    </row>
    <row r="102" spans="1:10" ht="18" customHeight="1">
      <c r="A102" s="7" t="s">
        <v>310</v>
      </c>
      <c r="B102" s="8" t="s">
        <v>108</v>
      </c>
      <c r="C102" s="8" t="s">
        <v>112</v>
      </c>
      <c r="D102" s="8" t="s">
        <v>398</v>
      </c>
      <c r="E102" s="8" t="s">
        <v>309</v>
      </c>
      <c r="F102" s="20">
        <f>'Прилож №8'!G78</f>
        <v>20000</v>
      </c>
      <c r="G102" s="20">
        <f>'Прилож №8'!H78</f>
        <v>20000</v>
      </c>
      <c r="H102" s="20">
        <f>'Прилож №8'!I78</f>
        <v>20000</v>
      </c>
      <c r="I102" s="20">
        <f>'Прилож №8'!J78</f>
        <v>20000</v>
      </c>
      <c r="J102" s="20"/>
    </row>
    <row r="103" spans="1:10" ht="61.5" customHeight="1">
      <c r="A103" s="6" t="s">
        <v>400</v>
      </c>
      <c r="B103" s="8" t="s">
        <v>108</v>
      </c>
      <c r="C103" s="8" t="s">
        <v>112</v>
      </c>
      <c r="D103" s="8" t="s">
        <v>399</v>
      </c>
      <c r="E103" s="8"/>
      <c r="F103" s="20">
        <f>F104</f>
        <v>20000</v>
      </c>
      <c r="G103" s="20">
        <f>G104</f>
        <v>20000</v>
      </c>
      <c r="H103" s="20">
        <f>H104</f>
        <v>20000</v>
      </c>
      <c r="I103" s="20">
        <f>I104</f>
        <v>20000</v>
      </c>
      <c r="J103" s="20"/>
    </row>
    <row r="104" spans="1:10" ht="18" customHeight="1">
      <c r="A104" s="7" t="s">
        <v>310</v>
      </c>
      <c r="B104" s="8" t="s">
        <v>108</v>
      </c>
      <c r="C104" s="8" t="s">
        <v>112</v>
      </c>
      <c r="D104" s="8" t="s">
        <v>399</v>
      </c>
      <c r="E104" s="8" t="s">
        <v>309</v>
      </c>
      <c r="F104" s="20">
        <f>'Прилож №8'!G80</f>
        <v>20000</v>
      </c>
      <c r="G104" s="20">
        <f>'Прилож №8'!H80</f>
        <v>20000</v>
      </c>
      <c r="H104" s="20">
        <f>'Прилож №8'!I80</f>
        <v>20000</v>
      </c>
      <c r="I104" s="20">
        <f>'Прилож №8'!J80</f>
        <v>20000</v>
      </c>
      <c r="J104" s="20"/>
    </row>
    <row r="105" spans="1:11" s="18" customFormat="1" ht="15">
      <c r="A105" s="10" t="s">
        <v>39</v>
      </c>
      <c r="B105" s="11" t="s">
        <v>108</v>
      </c>
      <c r="C105" s="11" t="s">
        <v>109</v>
      </c>
      <c r="D105" s="11"/>
      <c r="E105" s="11"/>
      <c r="F105" s="19">
        <f>F118+F106+F109+F115</f>
        <v>63351.6</v>
      </c>
      <c r="G105" s="19">
        <f>G118+G106+G109+G115</f>
        <v>4217.4</v>
      </c>
      <c r="H105" s="19">
        <f>H118+H106+H109+H115</f>
        <v>59292.2</v>
      </c>
      <c r="I105" s="19">
        <f>I118+I106+I109+I115</f>
        <v>1150</v>
      </c>
      <c r="J105" s="37">
        <f>H105/F105*100</f>
        <v>93.59226917710049</v>
      </c>
      <c r="K105" s="32"/>
    </row>
    <row r="106" spans="1:11" s="18" customFormat="1" ht="29.25">
      <c r="A106" s="6" t="s">
        <v>64</v>
      </c>
      <c r="B106" s="8" t="s">
        <v>108</v>
      </c>
      <c r="C106" s="8" t="s">
        <v>109</v>
      </c>
      <c r="D106" s="8" t="s">
        <v>81</v>
      </c>
      <c r="E106" s="8"/>
      <c r="F106" s="20">
        <f aca="true" t="shared" si="8" ref="F106:I107">F107</f>
        <v>57088.5</v>
      </c>
      <c r="G106" s="20">
        <f t="shared" si="8"/>
        <v>0</v>
      </c>
      <c r="H106" s="20">
        <f t="shared" si="8"/>
        <v>56148.9</v>
      </c>
      <c r="I106" s="20">
        <f t="shared" si="8"/>
        <v>0</v>
      </c>
      <c r="J106" s="19"/>
      <c r="K106" s="32"/>
    </row>
    <row r="107" spans="1:11" s="18" customFormat="1" ht="15">
      <c r="A107" s="7" t="s">
        <v>14</v>
      </c>
      <c r="B107" s="8" t="s">
        <v>108</v>
      </c>
      <c r="C107" s="8" t="s">
        <v>109</v>
      </c>
      <c r="D107" s="8" t="s">
        <v>212</v>
      </c>
      <c r="E107" s="8"/>
      <c r="F107" s="20">
        <f t="shared" si="8"/>
        <v>57088.5</v>
      </c>
      <c r="G107" s="20">
        <f t="shared" si="8"/>
        <v>0</v>
      </c>
      <c r="H107" s="20">
        <f t="shared" si="8"/>
        <v>56148.9</v>
      </c>
      <c r="I107" s="20">
        <f t="shared" si="8"/>
        <v>0</v>
      </c>
      <c r="J107" s="19"/>
      <c r="K107" s="32"/>
    </row>
    <row r="108" spans="1:11" s="18" customFormat="1" ht="15">
      <c r="A108" s="7" t="s">
        <v>147</v>
      </c>
      <c r="B108" s="8" t="s">
        <v>108</v>
      </c>
      <c r="C108" s="8" t="s">
        <v>109</v>
      </c>
      <c r="D108" s="8" t="s">
        <v>212</v>
      </c>
      <c r="E108" s="8" t="s">
        <v>148</v>
      </c>
      <c r="F108" s="20">
        <f>'Прилож №8'!G84</f>
        <v>57088.5</v>
      </c>
      <c r="G108" s="20">
        <f>'Прилож №8'!H84</f>
        <v>0</v>
      </c>
      <c r="H108" s="20">
        <f>'Прилож №8'!I84</f>
        <v>56148.9</v>
      </c>
      <c r="I108" s="20">
        <f>'Прилож №8'!J84</f>
        <v>0</v>
      </c>
      <c r="J108" s="19"/>
      <c r="K108" s="32"/>
    </row>
    <row r="109" spans="1:11" s="18" customFormat="1" ht="29.25">
      <c r="A109" s="6" t="s">
        <v>67</v>
      </c>
      <c r="B109" s="8" t="s">
        <v>108</v>
      </c>
      <c r="C109" s="8" t="s">
        <v>109</v>
      </c>
      <c r="D109" s="8" t="s">
        <v>44</v>
      </c>
      <c r="E109" s="8"/>
      <c r="F109" s="20">
        <f>F110+F112</f>
        <v>3488.4</v>
      </c>
      <c r="G109" s="20">
        <f>G110+G112</f>
        <v>2817.4</v>
      </c>
      <c r="H109" s="20">
        <f>H110+H112</f>
        <v>637.2</v>
      </c>
      <c r="I109" s="20">
        <f>I110+I112</f>
        <v>0</v>
      </c>
      <c r="J109" s="19"/>
      <c r="K109" s="32"/>
    </row>
    <row r="110" spans="1:11" s="18" customFormat="1" ht="15">
      <c r="A110" s="6" t="s">
        <v>173</v>
      </c>
      <c r="B110" s="8" t="s">
        <v>108</v>
      </c>
      <c r="C110" s="8" t="s">
        <v>109</v>
      </c>
      <c r="D110" s="8" t="s">
        <v>174</v>
      </c>
      <c r="E110" s="8"/>
      <c r="F110" s="20">
        <f>F111</f>
        <v>671</v>
      </c>
      <c r="G110" s="20">
        <f>G111</f>
        <v>0</v>
      </c>
      <c r="H110" s="20">
        <f>H111</f>
        <v>637.2</v>
      </c>
      <c r="I110" s="20">
        <f>I111</f>
        <v>0</v>
      </c>
      <c r="J110" s="19"/>
      <c r="K110" s="32"/>
    </row>
    <row r="111" spans="1:11" s="18" customFormat="1" ht="15">
      <c r="A111" s="7" t="s">
        <v>86</v>
      </c>
      <c r="B111" s="8" t="s">
        <v>108</v>
      </c>
      <c r="C111" s="8" t="s">
        <v>109</v>
      </c>
      <c r="D111" s="8" t="s">
        <v>174</v>
      </c>
      <c r="E111" s="8" t="s">
        <v>150</v>
      </c>
      <c r="F111" s="20">
        <f>'Прилож №8'!G577+'Прилож №8'!G87</f>
        <v>671</v>
      </c>
      <c r="G111" s="20">
        <f>'Прилож №8'!H577+'Прилож №8'!H87</f>
        <v>0</v>
      </c>
      <c r="H111" s="20">
        <f>'Прилож №8'!I577+'Прилож №8'!I87</f>
        <v>637.2</v>
      </c>
      <c r="I111" s="20">
        <f>'Прилож №8'!J577+'Прилож №8'!J87</f>
        <v>0</v>
      </c>
      <c r="J111" s="19"/>
      <c r="K111" s="32"/>
    </row>
    <row r="112" spans="1:11" s="18" customFormat="1" ht="57.75">
      <c r="A112" s="6" t="s">
        <v>501</v>
      </c>
      <c r="B112" s="8" t="s">
        <v>108</v>
      </c>
      <c r="C112" s="8" t="s">
        <v>109</v>
      </c>
      <c r="D112" s="8" t="s">
        <v>482</v>
      </c>
      <c r="E112" s="8"/>
      <c r="F112" s="20">
        <f aca="true" t="shared" si="9" ref="F112:I113">F113</f>
        <v>2817.4</v>
      </c>
      <c r="G112" s="20">
        <f t="shared" si="9"/>
        <v>2817.4</v>
      </c>
      <c r="H112" s="20">
        <f t="shared" si="9"/>
        <v>0</v>
      </c>
      <c r="I112" s="20">
        <f t="shared" si="9"/>
        <v>0</v>
      </c>
      <c r="J112" s="19"/>
      <c r="K112" s="32"/>
    </row>
    <row r="113" spans="1:11" s="18" customFormat="1" ht="29.25">
      <c r="A113" s="6" t="s">
        <v>484</v>
      </c>
      <c r="B113" s="8" t="s">
        <v>108</v>
      </c>
      <c r="C113" s="8" t="s">
        <v>109</v>
      </c>
      <c r="D113" s="8" t="s">
        <v>483</v>
      </c>
      <c r="E113" s="8"/>
      <c r="F113" s="20">
        <f t="shared" si="9"/>
        <v>2817.4</v>
      </c>
      <c r="G113" s="20">
        <f t="shared" si="9"/>
        <v>2817.4</v>
      </c>
      <c r="H113" s="20">
        <f t="shared" si="9"/>
        <v>0</v>
      </c>
      <c r="I113" s="20">
        <f t="shared" si="9"/>
        <v>0</v>
      </c>
      <c r="J113" s="19"/>
      <c r="K113" s="32"/>
    </row>
    <row r="114" spans="1:11" s="18" customFormat="1" ht="15">
      <c r="A114" s="7" t="s">
        <v>86</v>
      </c>
      <c r="B114" s="8" t="s">
        <v>108</v>
      </c>
      <c r="C114" s="8" t="s">
        <v>109</v>
      </c>
      <c r="D114" s="8" t="s">
        <v>483</v>
      </c>
      <c r="E114" s="8" t="s">
        <v>150</v>
      </c>
      <c r="F114" s="20">
        <f>'Прилож №8'!G90</f>
        <v>2817.4</v>
      </c>
      <c r="G114" s="20">
        <f>'Прилож №8'!H90</f>
        <v>2817.4</v>
      </c>
      <c r="H114" s="20">
        <f>'Прилож №8'!I90</f>
        <v>0</v>
      </c>
      <c r="I114" s="20">
        <f>'Прилож №8'!J90</f>
        <v>0</v>
      </c>
      <c r="J114" s="19"/>
      <c r="K114" s="32"/>
    </row>
    <row r="115" spans="1:11" s="18" customFormat="1" ht="15">
      <c r="A115" s="7" t="s">
        <v>219</v>
      </c>
      <c r="B115" s="8" t="s">
        <v>108</v>
      </c>
      <c r="C115" s="8" t="s">
        <v>109</v>
      </c>
      <c r="D115" s="8" t="s">
        <v>218</v>
      </c>
      <c r="E115" s="8"/>
      <c r="F115" s="20">
        <f aca="true" t="shared" si="10" ref="F115:I116">F116</f>
        <v>1400</v>
      </c>
      <c r="G115" s="20">
        <f t="shared" si="10"/>
        <v>1400</v>
      </c>
      <c r="H115" s="20">
        <f t="shared" si="10"/>
        <v>1150</v>
      </c>
      <c r="I115" s="20">
        <f t="shared" si="10"/>
        <v>1150</v>
      </c>
      <c r="J115" s="19"/>
      <c r="K115" s="32"/>
    </row>
    <row r="116" spans="1:11" s="18" customFormat="1" ht="43.5">
      <c r="A116" s="6" t="s">
        <v>502</v>
      </c>
      <c r="B116" s="8" t="s">
        <v>108</v>
      </c>
      <c r="C116" s="8" t="s">
        <v>109</v>
      </c>
      <c r="D116" s="8" t="s">
        <v>465</v>
      </c>
      <c r="E116" s="8"/>
      <c r="F116" s="20">
        <f t="shared" si="10"/>
        <v>1400</v>
      </c>
      <c r="G116" s="20">
        <f t="shared" si="10"/>
        <v>1400</v>
      </c>
      <c r="H116" s="20">
        <f t="shared" si="10"/>
        <v>1150</v>
      </c>
      <c r="I116" s="20">
        <f t="shared" si="10"/>
        <v>1150</v>
      </c>
      <c r="J116" s="19"/>
      <c r="K116" s="32"/>
    </row>
    <row r="117" spans="1:11" s="18" customFormat="1" ht="43.5">
      <c r="A117" s="6" t="s">
        <v>466</v>
      </c>
      <c r="B117" s="8" t="s">
        <v>108</v>
      </c>
      <c r="C117" s="8" t="s">
        <v>109</v>
      </c>
      <c r="D117" s="8" t="s">
        <v>465</v>
      </c>
      <c r="E117" s="8" t="s">
        <v>406</v>
      </c>
      <c r="F117" s="20">
        <f>'Прилож №8'!G93</f>
        <v>1400</v>
      </c>
      <c r="G117" s="20">
        <f>'Прилож №8'!H93</f>
        <v>1400</v>
      </c>
      <c r="H117" s="20">
        <f>'Прилож №8'!I93</f>
        <v>1150</v>
      </c>
      <c r="I117" s="20">
        <f>'Прилож №8'!J93</f>
        <v>1150</v>
      </c>
      <c r="J117" s="19"/>
      <c r="K117" s="32"/>
    </row>
    <row r="118" spans="1:10" ht="14.25">
      <c r="A118" s="7" t="s">
        <v>78</v>
      </c>
      <c r="B118" s="8" t="s">
        <v>108</v>
      </c>
      <c r="C118" s="8" t="s">
        <v>109</v>
      </c>
      <c r="D118" s="8" t="s">
        <v>79</v>
      </c>
      <c r="E118" s="8"/>
      <c r="F118" s="20">
        <f>F119+F122</f>
        <v>1374.7</v>
      </c>
      <c r="G118" s="20">
        <f>G119+G122</f>
        <v>0</v>
      </c>
      <c r="H118" s="20">
        <f>H119+H122</f>
        <v>1356.1</v>
      </c>
      <c r="I118" s="20">
        <f>I119+I122</f>
        <v>0</v>
      </c>
      <c r="J118" s="20"/>
    </row>
    <row r="119" spans="1:10" ht="42.75">
      <c r="A119" s="6" t="s">
        <v>203</v>
      </c>
      <c r="B119" s="8" t="s">
        <v>108</v>
      </c>
      <c r="C119" s="8" t="s">
        <v>109</v>
      </c>
      <c r="D119" s="8" t="s">
        <v>209</v>
      </c>
      <c r="E119" s="8"/>
      <c r="F119" s="20">
        <f>F120+F121</f>
        <v>995</v>
      </c>
      <c r="G119" s="20">
        <f>G120+G121</f>
        <v>0</v>
      </c>
      <c r="H119" s="20">
        <f>H120+H121</f>
        <v>995</v>
      </c>
      <c r="I119" s="20">
        <f>I120+I121</f>
        <v>0</v>
      </c>
      <c r="J119" s="20"/>
    </row>
    <row r="120" spans="1:10" ht="14.25">
      <c r="A120" s="6" t="s">
        <v>261</v>
      </c>
      <c r="B120" s="8" t="s">
        <v>108</v>
      </c>
      <c r="C120" s="8" t="s">
        <v>109</v>
      </c>
      <c r="D120" s="8" t="s">
        <v>209</v>
      </c>
      <c r="E120" s="8" t="s">
        <v>53</v>
      </c>
      <c r="F120" s="20">
        <f>'Прилож №8'!G96</f>
        <v>490</v>
      </c>
      <c r="G120" s="20">
        <f>'Прилож №8'!H96</f>
        <v>0</v>
      </c>
      <c r="H120" s="20">
        <f>'Прилож №8'!I96</f>
        <v>490</v>
      </c>
      <c r="I120" s="20">
        <f>'Прилож №8'!J96</f>
        <v>0</v>
      </c>
      <c r="J120" s="20"/>
    </row>
    <row r="121" spans="1:10" ht="14.25">
      <c r="A121" s="7" t="s">
        <v>86</v>
      </c>
      <c r="B121" s="8" t="s">
        <v>108</v>
      </c>
      <c r="C121" s="8" t="s">
        <v>109</v>
      </c>
      <c r="D121" s="8" t="s">
        <v>209</v>
      </c>
      <c r="E121" s="8" t="s">
        <v>150</v>
      </c>
      <c r="F121" s="20">
        <f>'Прилож №8'!G97</f>
        <v>505</v>
      </c>
      <c r="G121" s="20">
        <f>'Прилож №8'!H97</f>
        <v>0</v>
      </c>
      <c r="H121" s="20">
        <f>'Прилож №8'!I97</f>
        <v>505</v>
      </c>
      <c r="I121" s="20">
        <f>'Прилож №8'!J97</f>
        <v>0</v>
      </c>
      <c r="J121" s="20"/>
    </row>
    <row r="122" spans="1:10" ht="42.75">
      <c r="A122" s="15" t="s">
        <v>240</v>
      </c>
      <c r="B122" s="8" t="s">
        <v>108</v>
      </c>
      <c r="C122" s="8" t="s">
        <v>109</v>
      </c>
      <c r="D122" s="8" t="s">
        <v>143</v>
      </c>
      <c r="E122" s="8"/>
      <c r="F122" s="20">
        <f>F123</f>
        <v>379.7</v>
      </c>
      <c r="G122" s="20">
        <f>G123</f>
        <v>0</v>
      </c>
      <c r="H122" s="20">
        <f>H123</f>
        <v>361.1</v>
      </c>
      <c r="I122" s="20">
        <f>I123</f>
        <v>0</v>
      </c>
      <c r="J122" s="20"/>
    </row>
    <row r="123" spans="1:10" ht="14.25">
      <c r="A123" s="7" t="s">
        <v>86</v>
      </c>
      <c r="B123" s="8" t="s">
        <v>108</v>
      </c>
      <c r="C123" s="8" t="s">
        <v>109</v>
      </c>
      <c r="D123" s="8" t="s">
        <v>143</v>
      </c>
      <c r="E123" s="8" t="s">
        <v>150</v>
      </c>
      <c r="F123" s="20">
        <f>'Прилож №8'!G99</f>
        <v>379.7</v>
      </c>
      <c r="G123" s="20">
        <f>'Прилож №8'!H99</f>
        <v>0</v>
      </c>
      <c r="H123" s="20">
        <f>'Прилож №8'!I99</f>
        <v>361.1</v>
      </c>
      <c r="I123" s="20">
        <f>'Прилож №8'!J99</f>
        <v>0</v>
      </c>
      <c r="J123" s="20"/>
    </row>
    <row r="124" spans="1:10" ht="15">
      <c r="A124" s="10" t="s">
        <v>12</v>
      </c>
      <c r="B124" s="11" t="s">
        <v>119</v>
      </c>
      <c r="C124" s="11"/>
      <c r="D124" s="11"/>
      <c r="E124" s="11"/>
      <c r="F124" s="19">
        <f>F125+F171+F154</f>
        <v>541261</v>
      </c>
      <c r="G124" s="19">
        <f>G125+G171+G154</f>
        <v>309746</v>
      </c>
      <c r="H124" s="19">
        <f>H125+H171+H154</f>
        <v>476354.6</v>
      </c>
      <c r="I124" s="19">
        <f>I125+I171+I154</f>
        <v>249582.59999999998</v>
      </c>
      <c r="J124" s="37">
        <f>H124/F124*100</f>
        <v>88.00829913849326</v>
      </c>
    </row>
    <row r="125" spans="1:10" ht="15">
      <c r="A125" s="10" t="s">
        <v>41</v>
      </c>
      <c r="B125" s="11" t="s">
        <v>119</v>
      </c>
      <c r="C125" s="11" t="s">
        <v>106</v>
      </c>
      <c r="D125" s="11"/>
      <c r="E125" s="11"/>
      <c r="F125" s="19">
        <f>F142+F129+F139+F138+F126</f>
        <v>154622</v>
      </c>
      <c r="G125" s="19">
        <f>G142+G129+G139+G138+G126</f>
        <v>78040.79999999999</v>
      </c>
      <c r="H125" s="19">
        <f>H142+H129+H139+H138+H126</f>
        <v>151656.6</v>
      </c>
      <c r="I125" s="19">
        <f>I142+I129+I139+I138+I126</f>
        <v>77410.7</v>
      </c>
      <c r="J125" s="37">
        <f>H125/F125*100</f>
        <v>98.08216165875491</v>
      </c>
    </row>
    <row r="126" spans="1:10" ht="28.5">
      <c r="A126" s="6" t="s">
        <v>121</v>
      </c>
      <c r="B126" s="8" t="s">
        <v>119</v>
      </c>
      <c r="C126" s="8" t="s">
        <v>106</v>
      </c>
      <c r="D126" s="8" t="s">
        <v>81</v>
      </c>
      <c r="E126" s="8"/>
      <c r="F126" s="20">
        <f aca="true" t="shared" si="11" ref="F126:I127">F127</f>
        <v>46.7</v>
      </c>
      <c r="G126" s="20">
        <f t="shared" si="11"/>
        <v>46.7</v>
      </c>
      <c r="H126" s="20">
        <f t="shared" si="11"/>
        <v>0</v>
      </c>
      <c r="I126" s="20">
        <f t="shared" si="11"/>
        <v>0</v>
      </c>
      <c r="J126" s="20"/>
    </row>
    <row r="127" spans="1:10" ht="99.75">
      <c r="A127" s="6" t="s">
        <v>478</v>
      </c>
      <c r="B127" s="8" t="s">
        <v>119</v>
      </c>
      <c r="C127" s="8" t="s">
        <v>106</v>
      </c>
      <c r="D127" s="8" t="s">
        <v>477</v>
      </c>
      <c r="E127" s="8"/>
      <c r="F127" s="20">
        <f t="shared" si="11"/>
        <v>46.7</v>
      </c>
      <c r="G127" s="20">
        <f t="shared" si="11"/>
        <v>46.7</v>
      </c>
      <c r="H127" s="20">
        <f t="shared" si="11"/>
        <v>0</v>
      </c>
      <c r="I127" s="20">
        <f t="shared" si="11"/>
        <v>0</v>
      </c>
      <c r="J127" s="20"/>
    </row>
    <row r="128" spans="1:10" ht="14.25">
      <c r="A128" s="7" t="s">
        <v>299</v>
      </c>
      <c r="B128" s="8" t="s">
        <v>119</v>
      </c>
      <c r="C128" s="8" t="s">
        <v>106</v>
      </c>
      <c r="D128" s="8" t="s">
        <v>477</v>
      </c>
      <c r="E128" s="8" t="s">
        <v>300</v>
      </c>
      <c r="F128" s="20">
        <f>'Прилож №8'!G582</f>
        <v>46.7</v>
      </c>
      <c r="G128" s="20">
        <f>'Прилож №8'!H582</f>
        <v>46.7</v>
      </c>
      <c r="H128" s="20">
        <f>'Прилож №8'!I582</f>
        <v>0</v>
      </c>
      <c r="I128" s="20">
        <f>'Прилож №8'!J582</f>
        <v>0</v>
      </c>
      <c r="J128" s="20"/>
    </row>
    <row r="129" spans="1:10" ht="28.5">
      <c r="A129" s="6" t="s">
        <v>274</v>
      </c>
      <c r="B129" s="8" t="s">
        <v>119</v>
      </c>
      <c r="C129" s="8" t="s">
        <v>106</v>
      </c>
      <c r="D129" s="8" t="s">
        <v>275</v>
      </c>
      <c r="E129" s="8" t="s">
        <v>32</v>
      </c>
      <c r="F129" s="20">
        <f>F130+F133</f>
        <v>121908.6</v>
      </c>
      <c r="G129" s="20">
        <f>G130+G133</f>
        <v>77410.7</v>
      </c>
      <c r="H129" s="20">
        <f>H130+H133</f>
        <v>121901.5</v>
      </c>
      <c r="I129" s="20">
        <f>I130+I133</f>
        <v>77410.7</v>
      </c>
      <c r="J129" s="20"/>
    </row>
    <row r="130" spans="1:10" ht="71.25">
      <c r="A130" s="6" t="s">
        <v>276</v>
      </c>
      <c r="B130" s="8" t="s">
        <v>119</v>
      </c>
      <c r="C130" s="8" t="s">
        <v>106</v>
      </c>
      <c r="D130" s="8" t="s">
        <v>277</v>
      </c>
      <c r="E130" s="8" t="s">
        <v>32</v>
      </c>
      <c r="F130" s="20">
        <f aca="true" t="shared" si="12" ref="F130:I131">F131</f>
        <v>60954.3</v>
      </c>
      <c r="G130" s="20">
        <f t="shared" si="12"/>
        <v>55696.5</v>
      </c>
      <c r="H130" s="20">
        <f t="shared" si="12"/>
        <v>60948.1</v>
      </c>
      <c r="I130" s="20">
        <f t="shared" si="12"/>
        <v>55696.5</v>
      </c>
      <c r="J130" s="20"/>
    </row>
    <row r="131" spans="1:10" ht="57">
      <c r="A131" s="6" t="s">
        <v>278</v>
      </c>
      <c r="B131" s="8" t="s">
        <v>119</v>
      </c>
      <c r="C131" s="8" t="s">
        <v>106</v>
      </c>
      <c r="D131" s="8" t="s">
        <v>279</v>
      </c>
      <c r="E131" s="8" t="s">
        <v>32</v>
      </c>
      <c r="F131" s="20">
        <f t="shared" si="12"/>
        <v>60954.3</v>
      </c>
      <c r="G131" s="20">
        <f t="shared" si="12"/>
        <v>55696.5</v>
      </c>
      <c r="H131" s="20">
        <f t="shared" si="12"/>
        <v>60948.1</v>
      </c>
      <c r="I131" s="20">
        <f t="shared" si="12"/>
        <v>55696.5</v>
      </c>
      <c r="J131" s="20"/>
    </row>
    <row r="132" spans="1:10" ht="42.75">
      <c r="A132" s="6" t="s">
        <v>420</v>
      </c>
      <c r="B132" s="8" t="s">
        <v>119</v>
      </c>
      <c r="C132" s="8" t="s">
        <v>106</v>
      </c>
      <c r="D132" s="8" t="s">
        <v>279</v>
      </c>
      <c r="E132" s="8" t="s">
        <v>406</v>
      </c>
      <c r="F132" s="20">
        <f>'Прилож №8'!G105</f>
        <v>60954.3</v>
      </c>
      <c r="G132" s="20">
        <f>'Прилож №8'!H105</f>
        <v>55696.5</v>
      </c>
      <c r="H132" s="20">
        <f>'Прилож №8'!I105</f>
        <v>60948.1</v>
      </c>
      <c r="I132" s="20">
        <f>'Прилож №8'!J105</f>
        <v>55696.5</v>
      </c>
      <c r="J132" s="20"/>
    </row>
    <row r="133" spans="1:10" ht="28.5">
      <c r="A133" s="6" t="s">
        <v>280</v>
      </c>
      <c r="B133" s="8" t="s">
        <v>119</v>
      </c>
      <c r="C133" s="8" t="s">
        <v>106</v>
      </c>
      <c r="D133" s="8" t="s">
        <v>281</v>
      </c>
      <c r="E133" s="8" t="s">
        <v>32</v>
      </c>
      <c r="F133" s="20">
        <f aca="true" t="shared" si="13" ref="F133:I134">F134</f>
        <v>60954.299999999996</v>
      </c>
      <c r="G133" s="20">
        <f t="shared" si="13"/>
        <v>21714.2</v>
      </c>
      <c r="H133" s="20">
        <f t="shared" si="13"/>
        <v>60953.4</v>
      </c>
      <c r="I133" s="20">
        <f t="shared" si="13"/>
        <v>21714.2</v>
      </c>
      <c r="J133" s="20"/>
    </row>
    <row r="134" spans="1:10" ht="28.5">
      <c r="A134" s="6" t="s">
        <v>274</v>
      </c>
      <c r="B134" s="8" t="s">
        <v>119</v>
      </c>
      <c r="C134" s="8" t="s">
        <v>106</v>
      </c>
      <c r="D134" s="8" t="s">
        <v>282</v>
      </c>
      <c r="E134" s="8" t="s">
        <v>32</v>
      </c>
      <c r="F134" s="20">
        <f t="shared" si="13"/>
        <v>60954.299999999996</v>
      </c>
      <c r="G134" s="20">
        <f t="shared" si="13"/>
        <v>21714.2</v>
      </c>
      <c r="H134" s="20">
        <f t="shared" si="13"/>
        <v>60953.4</v>
      </c>
      <c r="I134" s="20">
        <f t="shared" si="13"/>
        <v>21714.2</v>
      </c>
      <c r="J134" s="20"/>
    </row>
    <row r="135" spans="1:10" ht="47.25" customHeight="1">
      <c r="A135" s="6" t="s">
        <v>420</v>
      </c>
      <c r="B135" s="8" t="s">
        <v>119</v>
      </c>
      <c r="C135" s="8" t="s">
        <v>106</v>
      </c>
      <c r="D135" s="8" t="s">
        <v>282</v>
      </c>
      <c r="E135" s="8" t="s">
        <v>406</v>
      </c>
      <c r="F135" s="20">
        <f>'Прилож №8'!G108</f>
        <v>60954.299999999996</v>
      </c>
      <c r="G135" s="20">
        <f>'Прилож №8'!H108</f>
        <v>21714.2</v>
      </c>
      <c r="H135" s="20">
        <f>'Прилож №8'!I108</f>
        <v>60953.4</v>
      </c>
      <c r="I135" s="20">
        <f>'Прилож №8'!J108</f>
        <v>21714.2</v>
      </c>
      <c r="J135" s="20"/>
    </row>
    <row r="136" spans="1:10" ht="47.25" customHeight="1">
      <c r="A136" s="6" t="s">
        <v>474</v>
      </c>
      <c r="B136" s="8" t="s">
        <v>119</v>
      </c>
      <c r="C136" s="8" t="s">
        <v>106</v>
      </c>
      <c r="D136" s="8" t="s">
        <v>473</v>
      </c>
      <c r="E136" s="8"/>
      <c r="F136" s="20">
        <f aca="true" t="shared" si="14" ref="F136:I137">F137</f>
        <v>583.4</v>
      </c>
      <c r="G136" s="20">
        <f t="shared" si="14"/>
        <v>583.4</v>
      </c>
      <c r="H136" s="20">
        <f t="shared" si="14"/>
        <v>0</v>
      </c>
      <c r="I136" s="20">
        <f t="shared" si="14"/>
        <v>0</v>
      </c>
      <c r="J136" s="20"/>
    </row>
    <row r="137" spans="1:10" ht="37.5" customHeight="1">
      <c r="A137" s="6" t="s">
        <v>476</v>
      </c>
      <c r="B137" s="8" t="s">
        <v>119</v>
      </c>
      <c r="C137" s="8" t="s">
        <v>106</v>
      </c>
      <c r="D137" s="8" t="s">
        <v>475</v>
      </c>
      <c r="E137" s="8"/>
      <c r="F137" s="20">
        <f t="shared" si="14"/>
        <v>583.4</v>
      </c>
      <c r="G137" s="20">
        <f t="shared" si="14"/>
        <v>583.4</v>
      </c>
      <c r="H137" s="20">
        <f t="shared" si="14"/>
        <v>0</v>
      </c>
      <c r="I137" s="20">
        <f t="shared" si="14"/>
        <v>0</v>
      </c>
      <c r="J137" s="20"/>
    </row>
    <row r="138" spans="1:10" ht="20.25" customHeight="1">
      <c r="A138" s="7" t="s">
        <v>299</v>
      </c>
      <c r="B138" s="8" t="s">
        <v>119</v>
      </c>
      <c r="C138" s="8" t="s">
        <v>106</v>
      </c>
      <c r="D138" s="8" t="s">
        <v>475</v>
      </c>
      <c r="E138" s="8" t="s">
        <v>300</v>
      </c>
      <c r="F138" s="20">
        <f>'Прилож №8'!G589</f>
        <v>583.4</v>
      </c>
      <c r="G138" s="20">
        <f>'Прилож №8'!H589</f>
        <v>583.4</v>
      </c>
      <c r="H138" s="20">
        <f>'Прилож №8'!I589</f>
        <v>0</v>
      </c>
      <c r="I138" s="20">
        <f>'Прилож №8'!J589</f>
        <v>0</v>
      </c>
      <c r="J138" s="20"/>
    </row>
    <row r="139" spans="1:10" ht="16.5" customHeight="1">
      <c r="A139" s="7" t="s">
        <v>291</v>
      </c>
      <c r="B139" s="8" t="s">
        <v>119</v>
      </c>
      <c r="C139" s="8" t="s">
        <v>106</v>
      </c>
      <c r="D139" s="8" t="s">
        <v>290</v>
      </c>
      <c r="E139" s="8" t="s">
        <v>32</v>
      </c>
      <c r="F139" s="20">
        <f aca="true" t="shared" si="15" ref="F139:I140">F140</f>
        <v>4645.5</v>
      </c>
      <c r="G139" s="20">
        <f t="shared" si="15"/>
        <v>0</v>
      </c>
      <c r="H139" s="20">
        <f t="shared" si="15"/>
        <v>4231</v>
      </c>
      <c r="I139" s="20">
        <f t="shared" si="15"/>
        <v>0</v>
      </c>
      <c r="J139" s="20"/>
    </row>
    <row r="140" spans="1:10" ht="16.5" customHeight="1">
      <c r="A140" s="7" t="s">
        <v>292</v>
      </c>
      <c r="B140" s="8" t="s">
        <v>119</v>
      </c>
      <c r="C140" s="8" t="s">
        <v>106</v>
      </c>
      <c r="D140" s="8" t="s">
        <v>293</v>
      </c>
      <c r="E140" s="8" t="s">
        <v>32</v>
      </c>
      <c r="F140" s="20">
        <f t="shared" si="15"/>
        <v>4645.5</v>
      </c>
      <c r="G140" s="20">
        <f t="shared" si="15"/>
        <v>0</v>
      </c>
      <c r="H140" s="20">
        <f t="shared" si="15"/>
        <v>4231</v>
      </c>
      <c r="I140" s="20">
        <f t="shared" si="15"/>
        <v>0</v>
      </c>
      <c r="J140" s="20"/>
    </row>
    <row r="141" spans="1:10" ht="16.5" customHeight="1">
      <c r="A141" s="7" t="s">
        <v>86</v>
      </c>
      <c r="B141" s="8" t="s">
        <v>119</v>
      </c>
      <c r="C141" s="8" t="s">
        <v>106</v>
      </c>
      <c r="D141" s="8" t="s">
        <v>293</v>
      </c>
      <c r="E141" s="8" t="s">
        <v>150</v>
      </c>
      <c r="F141" s="20">
        <f>'Прилож №8'!G111+'Прилож №8'!G585</f>
        <v>4645.5</v>
      </c>
      <c r="G141" s="20">
        <f>'Прилож №8'!H111+'Прилож №8'!H585</f>
        <v>0</v>
      </c>
      <c r="H141" s="20">
        <f>'Прилож №8'!I111+'Прилож №8'!I585</f>
        <v>4231</v>
      </c>
      <c r="I141" s="20">
        <f>'Прилож №8'!J111+'Прилож №8'!J585</f>
        <v>0</v>
      </c>
      <c r="J141" s="20"/>
    </row>
    <row r="142" spans="1:10" ht="14.25">
      <c r="A142" s="7" t="s">
        <v>78</v>
      </c>
      <c r="B142" s="8" t="s">
        <v>119</v>
      </c>
      <c r="C142" s="8" t="s">
        <v>106</v>
      </c>
      <c r="D142" s="8" t="s">
        <v>79</v>
      </c>
      <c r="E142" s="8"/>
      <c r="F142" s="20">
        <f>F144+F146+F150+F152+F147</f>
        <v>27437.8</v>
      </c>
      <c r="G142" s="20">
        <f>G144+G146+G150+G152+G147</f>
        <v>0</v>
      </c>
      <c r="H142" s="20">
        <f>H144+H146+H150+H152+H147</f>
        <v>25524.100000000002</v>
      </c>
      <c r="I142" s="20">
        <f>I144+I146+I150+I152+I147</f>
        <v>0</v>
      </c>
      <c r="J142" s="20"/>
    </row>
    <row r="143" spans="1:10" ht="57">
      <c r="A143" s="6" t="s">
        <v>247</v>
      </c>
      <c r="B143" s="8" t="s">
        <v>119</v>
      </c>
      <c r="C143" s="8" t="s">
        <v>106</v>
      </c>
      <c r="D143" s="8" t="s">
        <v>145</v>
      </c>
      <c r="E143" s="8"/>
      <c r="F143" s="20">
        <f>F144</f>
        <v>5052</v>
      </c>
      <c r="G143" s="20">
        <f>G144</f>
        <v>0</v>
      </c>
      <c r="H143" s="20">
        <f>H144</f>
        <v>5050.7</v>
      </c>
      <c r="I143" s="20">
        <f>I144</f>
        <v>0</v>
      </c>
      <c r="J143" s="20"/>
    </row>
    <row r="144" spans="1:10" ht="14.25">
      <c r="A144" s="7" t="s">
        <v>86</v>
      </c>
      <c r="B144" s="8" t="s">
        <v>119</v>
      </c>
      <c r="C144" s="8" t="s">
        <v>106</v>
      </c>
      <c r="D144" s="8" t="s">
        <v>145</v>
      </c>
      <c r="E144" s="8" t="s">
        <v>150</v>
      </c>
      <c r="F144" s="20">
        <f>'Прилож №8'!G114</f>
        <v>5052</v>
      </c>
      <c r="G144" s="20">
        <f>'Прилож №8'!H114</f>
        <v>0</v>
      </c>
      <c r="H144" s="20">
        <f>'Прилож №8'!I114</f>
        <v>5050.7</v>
      </c>
      <c r="I144" s="20">
        <f>'Прилож №8'!J114</f>
        <v>0</v>
      </c>
      <c r="J144" s="20"/>
    </row>
    <row r="145" spans="1:10" ht="65.25" customHeight="1">
      <c r="A145" s="39" t="s">
        <v>204</v>
      </c>
      <c r="B145" s="8" t="s">
        <v>119</v>
      </c>
      <c r="C145" s="8" t="s">
        <v>106</v>
      </c>
      <c r="D145" s="8" t="s">
        <v>249</v>
      </c>
      <c r="E145" s="8"/>
      <c r="F145" s="20">
        <f>F146</f>
        <v>1600</v>
      </c>
      <c r="G145" s="20">
        <f>G146</f>
        <v>0</v>
      </c>
      <c r="H145" s="20">
        <f>H146</f>
        <v>1395.9</v>
      </c>
      <c r="I145" s="20">
        <f>I146</f>
        <v>0</v>
      </c>
      <c r="J145" s="20"/>
    </row>
    <row r="146" spans="1:10" ht="14.25">
      <c r="A146" s="7" t="s">
        <v>86</v>
      </c>
      <c r="B146" s="8" t="s">
        <v>119</v>
      </c>
      <c r="C146" s="8" t="s">
        <v>106</v>
      </c>
      <c r="D146" s="8" t="s">
        <v>249</v>
      </c>
      <c r="E146" s="8" t="s">
        <v>150</v>
      </c>
      <c r="F146" s="20">
        <f>'Прилож №8'!G116</f>
        <v>1600</v>
      </c>
      <c r="G146" s="20">
        <f>'Прилож №8'!H116</f>
        <v>0</v>
      </c>
      <c r="H146" s="20">
        <f>'Прилож №8'!I116</f>
        <v>1395.9</v>
      </c>
      <c r="I146" s="20">
        <f>'Прилож №8'!J116</f>
        <v>0</v>
      </c>
      <c r="J146" s="20"/>
    </row>
    <row r="147" spans="1:10" ht="42.75">
      <c r="A147" s="40" t="s">
        <v>248</v>
      </c>
      <c r="B147" s="8" t="s">
        <v>119</v>
      </c>
      <c r="C147" s="8" t="s">
        <v>106</v>
      </c>
      <c r="D147" s="8" t="s">
        <v>207</v>
      </c>
      <c r="E147" s="8"/>
      <c r="F147" s="20">
        <f>F148+F149</f>
        <v>6063.8</v>
      </c>
      <c r="G147" s="20">
        <f>G148+G149</f>
        <v>0</v>
      </c>
      <c r="H147" s="20">
        <f>H148+H149</f>
        <v>5604.200000000001</v>
      </c>
      <c r="I147" s="20">
        <f>I148+I149</f>
        <v>0</v>
      </c>
      <c r="J147" s="20"/>
    </row>
    <row r="148" spans="1:10" ht="14.25">
      <c r="A148" s="6" t="s">
        <v>261</v>
      </c>
      <c r="B148" s="8" t="s">
        <v>119</v>
      </c>
      <c r="C148" s="8" t="s">
        <v>106</v>
      </c>
      <c r="D148" s="8" t="s">
        <v>207</v>
      </c>
      <c r="E148" s="8" t="s">
        <v>53</v>
      </c>
      <c r="F148" s="20">
        <f>'Прилож №8'!G118</f>
        <v>6056.2</v>
      </c>
      <c r="G148" s="20">
        <f>'Прилож №8'!H118</f>
        <v>0</v>
      </c>
      <c r="H148" s="20">
        <f>'Прилож №8'!I118</f>
        <v>5596.6</v>
      </c>
      <c r="I148" s="20">
        <f>'Прилож №8'!J118</f>
        <v>0</v>
      </c>
      <c r="J148" s="20"/>
    </row>
    <row r="149" spans="1:10" ht="14.25">
      <c r="A149" s="7" t="s">
        <v>86</v>
      </c>
      <c r="B149" s="8" t="s">
        <v>119</v>
      </c>
      <c r="C149" s="8" t="s">
        <v>106</v>
      </c>
      <c r="D149" s="8" t="s">
        <v>207</v>
      </c>
      <c r="E149" s="8" t="s">
        <v>150</v>
      </c>
      <c r="F149" s="20">
        <f>'Прилож №8'!G119</f>
        <v>7.6</v>
      </c>
      <c r="G149" s="20">
        <f>'Прилож №8'!H119</f>
        <v>0</v>
      </c>
      <c r="H149" s="20">
        <f>'Прилож №8'!I119</f>
        <v>7.6</v>
      </c>
      <c r="I149" s="20">
        <f>'Прилож №8'!J119</f>
        <v>0</v>
      </c>
      <c r="J149" s="20"/>
    </row>
    <row r="150" spans="1:10" ht="42.75">
      <c r="A150" s="6" t="s">
        <v>294</v>
      </c>
      <c r="B150" s="8" t="s">
        <v>119</v>
      </c>
      <c r="C150" s="8" t="s">
        <v>106</v>
      </c>
      <c r="D150" s="8" t="s">
        <v>295</v>
      </c>
      <c r="E150" s="8" t="s">
        <v>32</v>
      </c>
      <c r="F150" s="20">
        <f>F151</f>
        <v>14626</v>
      </c>
      <c r="G150" s="20">
        <f>G151</f>
        <v>0</v>
      </c>
      <c r="H150" s="20">
        <f>H151</f>
        <v>13377.3</v>
      </c>
      <c r="I150" s="20">
        <f>I151</f>
        <v>0</v>
      </c>
      <c r="J150" s="20"/>
    </row>
    <row r="151" spans="1:10" ht="14.25">
      <c r="A151" s="6" t="s">
        <v>86</v>
      </c>
      <c r="B151" s="8" t="s">
        <v>119</v>
      </c>
      <c r="C151" s="8" t="s">
        <v>106</v>
      </c>
      <c r="D151" s="8" t="s">
        <v>295</v>
      </c>
      <c r="E151" s="8" t="s">
        <v>150</v>
      </c>
      <c r="F151" s="20">
        <f>'Прилож №8'!G121+'Прилож №8'!G592</f>
        <v>14626</v>
      </c>
      <c r="G151" s="20">
        <f>'Прилож №8'!H121+'Прилож №8'!H592</f>
        <v>0</v>
      </c>
      <c r="H151" s="20">
        <f>'Прилож №8'!I121+'Прилож №8'!I592</f>
        <v>13377.3</v>
      </c>
      <c r="I151" s="20">
        <f>'Прилож №8'!J121+'Прилож №8'!J592</f>
        <v>0</v>
      </c>
      <c r="J151" s="20"/>
    </row>
    <row r="152" spans="1:10" ht="75.75" customHeight="1">
      <c r="A152" s="41" t="s">
        <v>296</v>
      </c>
      <c r="B152" s="8" t="s">
        <v>119</v>
      </c>
      <c r="C152" s="8" t="s">
        <v>106</v>
      </c>
      <c r="D152" s="8" t="s">
        <v>297</v>
      </c>
      <c r="E152" s="8" t="s">
        <v>32</v>
      </c>
      <c r="F152" s="20">
        <f>F153</f>
        <v>96</v>
      </c>
      <c r="G152" s="20">
        <f>G153</f>
        <v>0</v>
      </c>
      <c r="H152" s="20">
        <f>H153</f>
        <v>96</v>
      </c>
      <c r="I152" s="20">
        <f>I153</f>
        <v>0</v>
      </c>
      <c r="J152" s="20"/>
    </row>
    <row r="153" spans="1:10" ht="14.25">
      <c r="A153" s="6" t="s">
        <v>86</v>
      </c>
      <c r="B153" s="8" t="s">
        <v>119</v>
      </c>
      <c r="C153" s="8" t="s">
        <v>106</v>
      </c>
      <c r="D153" s="8" t="s">
        <v>297</v>
      </c>
      <c r="E153" s="8" t="s">
        <v>150</v>
      </c>
      <c r="F153" s="20">
        <f>'Прилож №8'!G123</f>
        <v>96</v>
      </c>
      <c r="G153" s="20">
        <f>'Прилож №8'!H123</f>
        <v>0</v>
      </c>
      <c r="H153" s="20">
        <f>'Прилож №8'!I123</f>
        <v>96</v>
      </c>
      <c r="I153" s="20">
        <f>'Прилож №8'!J123</f>
        <v>0</v>
      </c>
      <c r="J153" s="20"/>
    </row>
    <row r="154" spans="1:10" ht="15">
      <c r="A154" s="10" t="s">
        <v>216</v>
      </c>
      <c r="B154" s="11" t="s">
        <v>119</v>
      </c>
      <c r="C154" s="11" t="s">
        <v>107</v>
      </c>
      <c r="D154" s="11"/>
      <c r="E154" s="11"/>
      <c r="F154" s="19">
        <f>F164+F158+F155</f>
        <v>287533.9</v>
      </c>
      <c r="G154" s="19">
        <f>G164+G158+G155</f>
        <v>228865.2</v>
      </c>
      <c r="H154" s="19">
        <f>H164+H158+H155</f>
        <v>227762.8</v>
      </c>
      <c r="I154" s="19">
        <f>I164+I158+I155</f>
        <v>169331.9</v>
      </c>
      <c r="J154" s="37">
        <f>H154/F154*100</f>
        <v>79.21250329091629</v>
      </c>
    </row>
    <row r="155" spans="1:10" ht="15">
      <c r="A155" s="6" t="s">
        <v>446</v>
      </c>
      <c r="B155" s="8" t="s">
        <v>119</v>
      </c>
      <c r="C155" s="8" t="s">
        <v>107</v>
      </c>
      <c r="D155" s="8" t="s">
        <v>447</v>
      </c>
      <c r="E155" s="11"/>
      <c r="F155" s="20">
        <f aca="true" t="shared" si="16" ref="F155:I156">F156</f>
        <v>50118.8</v>
      </c>
      <c r="G155" s="20">
        <f t="shared" si="16"/>
        <v>0</v>
      </c>
      <c r="H155" s="20">
        <f t="shared" si="16"/>
        <v>50116.5</v>
      </c>
      <c r="I155" s="20">
        <f t="shared" si="16"/>
        <v>0</v>
      </c>
      <c r="J155" s="20"/>
    </row>
    <row r="156" spans="1:10" ht="15">
      <c r="A156" s="6" t="s">
        <v>448</v>
      </c>
      <c r="B156" s="8" t="s">
        <v>119</v>
      </c>
      <c r="C156" s="8" t="s">
        <v>107</v>
      </c>
      <c r="D156" s="8" t="s">
        <v>449</v>
      </c>
      <c r="E156" s="11"/>
      <c r="F156" s="20">
        <f t="shared" si="16"/>
        <v>50118.8</v>
      </c>
      <c r="G156" s="20">
        <f t="shared" si="16"/>
        <v>0</v>
      </c>
      <c r="H156" s="20">
        <f t="shared" si="16"/>
        <v>50116.5</v>
      </c>
      <c r="I156" s="20">
        <f t="shared" si="16"/>
        <v>0</v>
      </c>
      <c r="J156" s="20"/>
    </row>
    <row r="157" spans="1:10" ht="14.25">
      <c r="A157" s="6" t="s">
        <v>86</v>
      </c>
      <c r="B157" s="8" t="s">
        <v>119</v>
      </c>
      <c r="C157" s="8" t="s">
        <v>107</v>
      </c>
      <c r="D157" s="8" t="s">
        <v>449</v>
      </c>
      <c r="E157" s="8" t="s">
        <v>150</v>
      </c>
      <c r="F157" s="20">
        <f>'Прилож №8'!G127+'Прилож №8'!G536</f>
        <v>50118.8</v>
      </c>
      <c r="G157" s="20">
        <f>'Прилож №8'!H127+'Прилож №8'!H536</f>
        <v>0</v>
      </c>
      <c r="H157" s="20">
        <f>'Прилож №8'!I127+'Прилож №8'!I536</f>
        <v>50116.5</v>
      </c>
      <c r="I157" s="20">
        <f>'Прилож №8'!J127+'Прилож №8'!J536</f>
        <v>0</v>
      </c>
      <c r="J157" s="20"/>
    </row>
    <row r="158" spans="1:10" ht="15">
      <c r="A158" s="7" t="s">
        <v>219</v>
      </c>
      <c r="B158" s="11" t="s">
        <v>119</v>
      </c>
      <c r="C158" s="11" t="s">
        <v>107</v>
      </c>
      <c r="D158" s="11" t="s">
        <v>218</v>
      </c>
      <c r="E158" s="11"/>
      <c r="F158" s="19">
        <f>F159</f>
        <v>228865.2</v>
      </c>
      <c r="G158" s="19">
        <f>G159</f>
        <v>228865.2</v>
      </c>
      <c r="H158" s="19">
        <f>H159</f>
        <v>169331.9</v>
      </c>
      <c r="I158" s="19">
        <f>I159</f>
        <v>169331.9</v>
      </c>
      <c r="J158" s="20"/>
    </row>
    <row r="159" spans="1:10" ht="29.25">
      <c r="A159" s="6" t="s">
        <v>271</v>
      </c>
      <c r="B159" s="8" t="s">
        <v>119</v>
      </c>
      <c r="C159" s="8" t="s">
        <v>107</v>
      </c>
      <c r="D159" s="8" t="s">
        <v>270</v>
      </c>
      <c r="E159" s="11"/>
      <c r="F159" s="20">
        <f>F160+F162</f>
        <v>228865.2</v>
      </c>
      <c r="G159" s="20">
        <f>G160+G162</f>
        <v>228865.2</v>
      </c>
      <c r="H159" s="20">
        <f>H160+H162</f>
        <v>169331.9</v>
      </c>
      <c r="I159" s="20">
        <f>I160+I162</f>
        <v>169331.9</v>
      </c>
      <c r="J159" s="20"/>
    </row>
    <row r="160" spans="1:10" ht="29.25">
      <c r="A160" s="6" t="s">
        <v>272</v>
      </c>
      <c r="B160" s="8" t="s">
        <v>119</v>
      </c>
      <c r="C160" s="8" t="s">
        <v>107</v>
      </c>
      <c r="D160" s="8" t="s">
        <v>269</v>
      </c>
      <c r="E160" s="11"/>
      <c r="F160" s="20">
        <f>F161</f>
        <v>187200</v>
      </c>
      <c r="G160" s="20">
        <f>G161</f>
        <v>187200</v>
      </c>
      <c r="H160" s="20">
        <f>H161</f>
        <v>169331.9</v>
      </c>
      <c r="I160" s="20">
        <f>I161</f>
        <v>169331.9</v>
      </c>
      <c r="J160" s="20"/>
    </row>
    <row r="161" spans="1:10" ht="14.25">
      <c r="A161" s="6" t="s">
        <v>245</v>
      </c>
      <c r="B161" s="8" t="s">
        <v>119</v>
      </c>
      <c r="C161" s="8" t="s">
        <v>107</v>
      </c>
      <c r="D161" s="8" t="s">
        <v>269</v>
      </c>
      <c r="E161" s="8" t="s">
        <v>407</v>
      </c>
      <c r="F161" s="20">
        <f>'Прилож №8'!G131</f>
        <v>187200</v>
      </c>
      <c r="G161" s="20">
        <f>'Прилож №8'!H131</f>
        <v>187200</v>
      </c>
      <c r="H161" s="20">
        <f>'Прилож №8'!I131</f>
        <v>169331.9</v>
      </c>
      <c r="I161" s="20">
        <f>'Прилож №8'!J131</f>
        <v>169331.9</v>
      </c>
      <c r="J161" s="20"/>
    </row>
    <row r="162" spans="1:10" ht="42.75">
      <c r="A162" s="6" t="s">
        <v>507</v>
      </c>
      <c r="B162" s="8" t="s">
        <v>119</v>
      </c>
      <c r="C162" s="8" t="s">
        <v>107</v>
      </c>
      <c r="D162" s="8" t="s">
        <v>397</v>
      </c>
      <c r="E162" s="8"/>
      <c r="F162" s="20">
        <f>F163</f>
        <v>41665.2</v>
      </c>
      <c r="G162" s="20">
        <f>G163</f>
        <v>41665.2</v>
      </c>
      <c r="H162" s="20">
        <f>H163</f>
        <v>0</v>
      </c>
      <c r="I162" s="20">
        <f>I163</f>
        <v>0</v>
      </c>
      <c r="J162" s="20"/>
    </row>
    <row r="163" spans="1:10" ht="14.25" customHeight="1">
      <c r="A163" s="6" t="s">
        <v>299</v>
      </c>
      <c r="B163" s="8" t="s">
        <v>119</v>
      </c>
      <c r="C163" s="8" t="s">
        <v>107</v>
      </c>
      <c r="D163" s="8" t="s">
        <v>397</v>
      </c>
      <c r="E163" s="8" t="s">
        <v>300</v>
      </c>
      <c r="F163" s="20">
        <f>'Прилож №8'!G133</f>
        <v>41665.2</v>
      </c>
      <c r="G163" s="20">
        <f>'Прилож №8'!H133</f>
        <v>41665.2</v>
      </c>
      <c r="H163" s="20">
        <f>'Прилож №8'!I133</f>
        <v>0</v>
      </c>
      <c r="I163" s="20">
        <f>'Прилож №8'!J133</f>
        <v>0</v>
      </c>
      <c r="J163" s="20"/>
    </row>
    <row r="164" spans="1:10" ht="14.25">
      <c r="A164" s="7" t="s">
        <v>78</v>
      </c>
      <c r="B164" s="8" t="s">
        <v>119</v>
      </c>
      <c r="C164" s="8" t="s">
        <v>107</v>
      </c>
      <c r="D164" s="8" t="s">
        <v>79</v>
      </c>
      <c r="E164" s="8"/>
      <c r="F164" s="20">
        <f>F165</f>
        <v>8549.9</v>
      </c>
      <c r="G164" s="20">
        <f>G165</f>
        <v>0</v>
      </c>
      <c r="H164" s="20">
        <f>H165</f>
        <v>8314.4</v>
      </c>
      <c r="I164" s="20">
        <f>I165</f>
        <v>0</v>
      </c>
      <c r="J164" s="20"/>
    </row>
    <row r="165" spans="1:10" ht="42.75">
      <c r="A165" s="15" t="s">
        <v>244</v>
      </c>
      <c r="B165" s="8" t="s">
        <v>119</v>
      </c>
      <c r="C165" s="8" t="s">
        <v>107</v>
      </c>
      <c r="D165" s="8" t="s">
        <v>205</v>
      </c>
      <c r="E165" s="8"/>
      <c r="F165" s="20">
        <f>F166+F167</f>
        <v>8549.9</v>
      </c>
      <c r="G165" s="20">
        <f>G166+G167</f>
        <v>0</v>
      </c>
      <c r="H165" s="20">
        <f>H166+H167</f>
        <v>8314.4</v>
      </c>
      <c r="I165" s="20">
        <f>I166+I167</f>
        <v>0</v>
      </c>
      <c r="J165" s="20"/>
    </row>
    <row r="166" spans="1:10" ht="14.25">
      <c r="A166" s="7" t="s">
        <v>86</v>
      </c>
      <c r="B166" s="8" t="s">
        <v>119</v>
      </c>
      <c r="C166" s="8" t="s">
        <v>107</v>
      </c>
      <c r="D166" s="8" t="s">
        <v>205</v>
      </c>
      <c r="E166" s="8" t="s">
        <v>150</v>
      </c>
      <c r="F166" s="20">
        <f>'Прилож №8'!G136</f>
        <v>6904.099999999999</v>
      </c>
      <c r="G166" s="20">
        <f>'Прилож №8'!H136</f>
        <v>0</v>
      </c>
      <c r="H166" s="20">
        <f>'Прилож №8'!I136</f>
        <v>6668.6</v>
      </c>
      <c r="I166" s="20">
        <f>'Прилож №8'!J136</f>
        <v>0</v>
      </c>
      <c r="J166" s="20"/>
    </row>
    <row r="167" spans="1:10" ht="15">
      <c r="A167" s="10" t="s">
        <v>123</v>
      </c>
      <c r="B167" s="8" t="s">
        <v>119</v>
      </c>
      <c r="C167" s="8" t="s">
        <v>107</v>
      </c>
      <c r="D167" s="8" t="s">
        <v>205</v>
      </c>
      <c r="E167" s="8" t="s">
        <v>40</v>
      </c>
      <c r="F167" s="20">
        <f>F168+F169+F170</f>
        <v>1645.8000000000002</v>
      </c>
      <c r="G167" s="20">
        <f>G168+G169+G170</f>
        <v>0</v>
      </c>
      <c r="H167" s="20">
        <f>H168+H169+H170</f>
        <v>1645.8</v>
      </c>
      <c r="I167" s="20">
        <f>I168+I169+I170</f>
        <v>0</v>
      </c>
      <c r="J167" s="20"/>
    </row>
    <row r="168" spans="1:10" ht="57.75">
      <c r="A168" s="35" t="s">
        <v>506</v>
      </c>
      <c r="B168" s="8" t="s">
        <v>119</v>
      </c>
      <c r="C168" s="8" t="s">
        <v>107</v>
      </c>
      <c r="D168" s="8" t="s">
        <v>205</v>
      </c>
      <c r="E168" s="8" t="s">
        <v>40</v>
      </c>
      <c r="F168" s="20">
        <f>'Прилож №8'!G139</f>
        <v>645.8000000000001</v>
      </c>
      <c r="G168" s="20">
        <f>'Прилож №8'!H139</f>
        <v>0</v>
      </c>
      <c r="H168" s="20">
        <f>'Прилож №8'!I139</f>
        <v>645.8</v>
      </c>
      <c r="I168" s="20">
        <f>'Прилож №8'!J139</f>
        <v>0</v>
      </c>
      <c r="J168" s="20"/>
    </row>
    <row r="169" spans="1:10" ht="57.75">
      <c r="A169" s="35" t="s">
        <v>263</v>
      </c>
      <c r="B169" s="8" t="s">
        <v>119</v>
      </c>
      <c r="C169" s="8" t="s">
        <v>107</v>
      </c>
      <c r="D169" s="8" t="s">
        <v>205</v>
      </c>
      <c r="E169" s="8" t="s">
        <v>40</v>
      </c>
      <c r="F169" s="20">
        <f>'Прилож №8'!G138</f>
        <v>1000</v>
      </c>
      <c r="G169" s="20">
        <f>'Прилож №8'!H138</f>
        <v>0</v>
      </c>
      <c r="H169" s="20">
        <f>'Прилож №8'!I138</f>
        <v>1000</v>
      </c>
      <c r="I169" s="20">
        <f>'Прилож №8'!J138</f>
        <v>0</v>
      </c>
      <c r="J169" s="20"/>
    </row>
    <row r="170" spans="1:10" ht="29.25">
      <c r="A170" s="35" t="s">
        <v>424</v>
      </c>
      <c r="B170" s="8" t="s">
        <v>119</v>
      </c>
      <c r="C170" s="8" t="s">
        <v>107</v>
      </c>
      <c r="D170" s="8" t="s">
        <v>205</v>
      </c>
      <c r="E170" s="8" t="s">
        <v>40</v>
      </c>
      <c r="F170" s="20">
        <f>'Прилож №8'!G140</f>
        <v>0</v>
      </c>
      <c r="G170" s="20">
        <f>'Прилож №8'!H140</f>
        <v>0</v>
      </c>
      <c r="H170" s="20">
        <f>'Прилож №8'!I140</f>
        <v>0</v>
      </c>
      <c r="I170" s="20">
        <f>'Прилож №8'!J140</f>
        <v>0</v>
      </c>
      <c r="J170" s="20"/>
    </row>
    <row r="171" spans="1:11" s="18" customFormat="1" ht="15">
      <c r="A171" s="10" t="s">
        <v>80</v>
      </c>
      <c r="B171" s="11" t="s">
        <v>119</v>
      </c>
      <c r="C171" s="11" t="s">
        <v>111</v>
      </c>
      <c r="D171" s="11"/>
      <c r="E171" s="11"/>
      <c r="F171" s="19">
        <f>F181+F176+F172</f>
        <v>99105.1</v>
      </c>
      <c r="G171" s="19">
        <f>G181+G176+G172</f>
        <v>2840</v>
      </c>
      <c r="H171" s="19">
        <f>H181+H176+H172</f>
        <v>96935.20000000001</v>
      </c>
      <c r="I171" s="19">
        <f>I181+I176+I172</f>
        <v>2840</v>
      </c>
      <c r="J171" s="37">
        <f>H171/F171*100</f>
        <v>97.81050622016426</v>
      </c>
      <c r="K171" s="32"/>
    </row>
    <row r="172" spans="1:11" s="18" customFormat="1" ht="15">
      <c r="A172" s="7" t="s">
        <v>219</v>
      </c>
      <c r="B172" s="11" t="s">
        <v>119</v>
      </c>
      <c r="C172" s="11" t="s">
        <v>111</v>
      </c>
      <c r="D172" s="11" t="s">
        <v>58</v>
      </c>
      <c r="E172" s="11"/>
      <c r="F172" s="19">
        <f aca="true" t="shared" si="17" ref="F172:I174">F173</f>
        <v>2840</v>
      </c>
      <c r="G172" s="19">
        <f t="shared" si="17"/>
        <v>2840</v>
      </c>
      <c r="H172" s="19">
        <f t="shared" si="17"/>
        <v>2840</v>
      </c>
      <c r="I172" s="19">
        <f t="shared" si="17"/>
        <v>2840</v>
      </c>
      <c r="J172" s="19"/>
      <c r="K172" s="32"/>
    </row>
    <row r="173" spans="1:11" s="18" customFormat="1" ht="72">
      <c r="A173" s="6" t="s">
        <v>503</v>
      </c>
      <c r="B173" s="8" t="s">
        <v>119</v>
      </c>
      <c r="C173" s="8" t="s">
        <v>111</v>
      </c>
      <c r="D173" s="8" t="s">
        <v>485</v>
      </c>
      <c r="E173" s="11"/>
      <c r="F173" s="20">
        <f t="shared" si="17"/>
        <v>2840</v>
      </c>
      <c r="G173" s="20">
        <f t="shared" si="17"/>
        <v>2840</v>
      </c>
      <c r="H173" s="20">
        <f t="shared" si="17"/>
        <v>2840</v>
      </c>
      <c r="I173" s="20">
        <f t="shared" si="17"/>
        <v>2840</v>
      </c>
      <c r="J173" s="19"/>
      <c r="K173" s="32"/>
    </row>
    <row r="174" spans="1:11" s="18" customFormat="1" ht="29.25">
      <c r="A174" s="6" t="s">
        <v>487</v>
      </c>
      <c r="B174" s="8" t="s">
        <v>119</v>
      </c>
      <c r="C174" s="8" t="s">
        <v>111</v>
      </c>
      <c r="D174" s="8" t="s">
        <v>486</v>
      </c>
      <c r="E174" s="11"/>
      <c r="F174" s="20">
        <f t="shared" si="17"/>
        <v>2840</v>
      </c>
      <c r="G174" s="20">
        <f t="shared" si="17"/>
        <v>2840</v>
      </c>
      <c r="H174" s="20">
        <f t="shared" si="17"/>
        <v>2840</v>
      </c>
      <c r="I174" s="20">
        <f t="shared" si="17"/>
        <v>2840</v>
      </c>
      <c r="J174" s="19"/>
      <c r="K174" s="32"/>
    </row>
    <row r="175" spans="1:11" s="18" customFormat="1" ht="15">
      <c r="A175" s="7" t="s">
        <v>86</v>
      </c>
      <c r="B175" s="8" t="s">
        <v>119</v>
      </c>
      <c r="C175" s="8" t="s">
        <v>111</v>
      </c>
      <c r="D175" s="8" t="s">
        <v>486</v>
      </c>
      <c r="E175" s="8" t="s">
        <v>150</v>
      </c>
      <c r="F175" s="20">
        <f>'Прилож №8'!G145</f>
        <v>2840</v>
      </c>
      <c r="G175" s="20">
        <f>'Прилож №8'!H145</f>
        <v>2840</v>
      </c>
      <c r="H175" s="20">
        <f>'Прилож №8'!I145</f>
        <v>2840</v>
      </c>
      <c r="I175" s="20">
        <f>'Прилож №8'!J145</f>
        <v>2840</v>
      </c>
      <c r="J175" s="19"/>
      <c r="K175" s="32"/>
    </row>
    <row r="176" spans="1:11" s="18" customFormat="1" ht="15">
      <c r="A176" s="7" t="s">
        <v>80</v>
      </c>
      <c r="B176" s="8" t="s">
        <v>119</v>
      </c>
      <c r="C176" s="8" t="s">
        <v>111</v>
      </c>
      <c r="D176" s="8" t="s">
        <v>425</v>
      </c>
      <c r="E176" s="8"/>
      <c r="F176" s="20">
        <f>F178+F180</f>
        <v>406.79999999999995</v>
      </c>
      <c r="G176" s="20">
        <f>G178+G180</f>
        <v>0</v>
      </c>
      <c r="H176" s="20">
        <f>H178+H180</f>
        <v>269.1</v>
      </c>
      <c r="I176" s="20">
        <f>I178+I180</f>
        <v>0</v>
      </c>
      <c r="J176" s="19"/>
      <c r="K176" s="32"/>
    </row>
    <row r="177" spans="1:11" s="18" customFormat="1" ht="15">
      <c r="A177" s="7" t="s">
        <v>426</v>
      </c>
      <c r="B177" s="8" t="s">
        <v>119</v>
      </c>
      <c r="C177" s="8" t="s">
        <v>111</v>
      </c>
      <c r="D177" s="8" t="s">
        <v>427</v>
      </c>
      <c r="E177" s="8"/>
      <c r="F177" s="20">
        <f>F178</f>
        <v>298.4</v>
      </c>
      <c r="G177" s="20">
        <f>G178</f>
        <v>0</v>
      </c>
      <c r="H177" s="20">
        <f>H178</f>
        <v>190</v>
      </c>
      <c r="I177" s="20">
        <f>I178</f>
        <v>0</v>
      </c>
      <c r="J177" s="19"/>
      <c r="K177" s="32"/>
    </row>
    <row r="178" spans="1:11" s="18" customFormat="1" ht="15">
      <c r="A178" s="7" t="s">
        <v>86</v>
      </c>
      <c r="B178" s="8" t="s">
        <v>119</v>
      </c>
      <c r="C178" s="8" t="s">
        <v>111</v>
      </c>
      <c r="D178" s="8" t="s">
        <v>427</v>
      </c>
      <c r="E178" s="8" t="s">
        <v>150</v>
      </c>
      <c r="F178" s="20">
        <f>'Прилож №8'!G148</f>
        <v>298.4</v>
      </c>
      <c r="G178" s="20">
        <f>'Прилож №8'!H148</f>
        <v>0</v>
      </c>
      <c r="H178" s="20">
        <f>'Прилож №8'!I148</f>
        <v>190</v>
      </c>
      <c r="I178" s="20">
        <f>'Прилож №8'!J148</f>
        <v>0</v>
      </c>
      <c r="J178" s="19"/>
      <c r="K178" s="32"/>
    </row>
    <row r="179" spans="1:11" s="18" customFormat="1" ht="29.25">
      <c r="A179" s="6" t="s">
        <v>488</v>
      </c>
      <c r="B179" s="8" t="s">
        <v>119</v>
      </c>
      <c r="C179" s="8" t="s">
        <v>111</v>
      </c>
      <c r="D179" s="8" t="s">
        <v>428</v>
      </c>
      <c r="E179" s="8"/>
      <c r="F179" s="20">
        <f>F180</f>
        <v>108.4</v>
      </c>
      <c r="G179" s="20">
        <f>G180</f>
        <v>0</v>
      </c>
      <c r="H179" s="20">
        <f>H180</f>
        <v>79.1</v>
      </c>
      <c r="I179" s="20">
        <f>I180</f>
        <v>0</v>
      </c>
      <c r="J179" s="19"/>
      <c r="K179" s="32"/>
    </row>
    <row r="180" spans="1:11" s="18" customFormat="1" ht="15">
      <c r="A180" s="7" t="s">
        <v>86</v>
      </c>
      <c r="B180" s="8" t="s">
        <v>489</v>
      </c>
      <c r="C180" s="8" t="s">
        <v>111</v>
      </c>
      <c r="D180" s="8" t="s">
        <v>428</v>
      </c>
      <c r="E180" s="8" t="s">
        <v>150</v>
      </c>
      <c r="F180" s="20">
        <f>'Прилож №8'!G150</f>
        <v>108.4</v>
      </c>
      <c r="G180" s="20">
        <f>'Прилож №8'!H150</f>
        <v>0</v>
      </c>
      <c r="H180" s="20">
        <f>'Прилож №8'!I150</f>
        <v>79.1</v>
      </c>
      <c r="I180" s="20">
        <f>'Прилож №8'!J150</f>
        <v>0</v>
      </c>
      <c r="J180" s="19"/>
      <c r="K180" s="32"/>
    </row>
    <row r="181" spans="1:10" ht="14.25">
      <c r="A181" s="7" t="s">
        <v>78</v>
      </c>
      <c r="B181" s="8" t="s">
        <v>119</v>
      </c>
      <c r="C181" s="8" t="s">
        <v>111</v>
      </c>
      <c r="D181" s="8" t="s">
        <v>79</v>
      </c>
      <c r="E181" s="8"/>
      <c r="F181" s="20">
        <f>F182+F184</f>
        <v>95858.3</v>
      </c>
      <c r="G181" s="20">
        <f>G182+G184</f>
        <v>0</v>
      </c>
      <c r="H181" s="20">
        <f>H182+H184</f>
        <v>93826.1</v>
      </c>
      <c r="I181" s="20">
        <f>I182+I184</f>
        <v>0</v>
      </c>
      <c r="J181" s="20"/>
    </row>
    <row r="182" spans="1:10" ht="28.5">
      <c r="A182" s="6" t="s">
        <v>250</v>
      </c>
      <c r="B182" s="8" t="s">
        <v>119</v>
      </c>
      <c r="C182" s="8" t="s">
        <v>111</v>
      </c>
      <c r="D182" s="8" t="s">
        <v>253</v>
      </c>
      <c r="E182" s="8"/>
      <c r="F182" s="20">
        <f>F183</f>
        <v>69000</v>
      </c>
      <c r="G182" s="20">
        <f>G183</f>
        <v>0</v>
      </c>
      <c r="H182" s="20">
        <f>H183</f>
        <v>67639.3</v>
      </c>
      <c r="I182" s="20">
        <f>I183</f>
        <v>0</v>
      </c>
      <c r="J182" s="20"/>
    </row>
    <row r="183" spans="1:10" ht="14.25">
      <c r="A183" s="7" t="s">
        <v>86</v>
      </c>
      <c r="B183" s="8" t="s">
        <v>119</v>
      </c>
      <c r="C183" s="8" t="s">
        <v>111</v>
      </c>
      <c r="D183" s="8" t="s">
        <v>253</v>
      </c>
      <c r="E183" s="8" t="s">
        <v>150</v>
      </c>
      <c r="F183" s="20">
        <f>'Прилож №8'!G153+'Прилож №8'!G540</f>
        <v>69000</v>
      </c>
      <c r="G183" s="20">
        <f>'Прилож №8'!H153+'Прилож №8'!H540</f>
        <v>0</v>
      </c>
      <c r="H183" s="20">
        <f>'Прилож №8'!I153+'Прилож №8'!I540</f>
        <v>67639.3</v>
      </c>
      <c r="I183" s="20">
        <f>'Прилож №8'!J153+'Прилож №8'!J540</f>
        <v>0</v>
      </c>
      <c r="J183" s="20"/>
    </row>
    <row r="184" spans="1:10" ht="81" customHeight="1">
      <c r="A184" s="6" t="s">
        <v>472</v>
      </c>
      <c r="B184" s="8" t="s">
        <v>119</v>
      </c>
      <c r="C184" s="8" t="s">
        <v>111</v>
      </c>
      <c r="D184" s="8" t="s">
        <v>262</v>
      </c>
      <c r="E184" s="8"/>
      <c r="F184" s="20">
        <f>F185</f>
        <v>26858.3</v>
      </c>
      <c r="G184" s="20">
        <f>G185</f>
        <v>0</v>
      </c>
      <c r="H184" s="20">
        <f>H185</f>
        <v>26186.8</v>
      </c>
      <c r="I184" s="20">
        <f>I185</f>
        <v>0</v>
      </c>
      <c r="J184" s="20"/>
    </row>
    <row r="185" spans="1:10" ht="14.25">
      <c r="A185" s="7" t="s">
        <v>86</v>
      </c>
      <c r="B185" s="8" t="s">
        <v>119</v>
      </c>
      <c r="C185" s="8" t="s">
        <v>111</v>
      </c>
      <c r="D185" s="8" t="s">
        <v>262</v>
      </c>
      <c r="E185" s="8" t="s">
        <v>150</v>
      </c>
      <c r="F185" s="20">
        <f>'Прилож №8'!G155+'Прилож №8'!G542</f>
        <v>26858.3</v>
      </c>
      <c r="G185" s="20">
        <f>'Прилож №8'!H155+'Прилож №8'!H542</f>
        <v>0</v>
      </c>
      <c r="H185" s="20">
        <f>'Прилож №8'!I155+'Прилож №8'!I542</f>
        <v>26186.8</v>
      </c>
      <c r="I185" s="20">
        <f>'Прилож №8'!J155+'Прилож №8'!J542</f>
        <v>0</v>
      </c>
      <c r="J185" s="20"/>
    </row>
    <row r="186" spans="1:10" ht="15">
      <c r="A186" s="10" t="s">
        <v>27</v>
      </c>
      <c r="B186" s="11" t="s">
        <v>122</v>
      </c>
      <c r="C186" s="11"/>
      <c r="D186" s="11"/>
      <c r="E186" s="11"/>
      <c r="F186" s="19">
        <f>F187</f>
        <v>1570</v>
      </c>
      <c r="G186" s="19">
        <f>G187</f>
        <v>0</v>
      </c>
      <c r="H186" s="19">
        <f>H187</f>
        <v>1551.2</v>
      </c>
      <c r="I186" s="19">
        <f>I187</f>
        <v>0</v>
      </c>
      <c r="J186" s="37">
        <f>H186/F186*100</f>
        <v>98.80254777070064</v>
      </c>
    </row>
    <row r="187" spans="1:10" ht="15">
      <c r="A187" s="10" t="s">
        <v>28</v>
      </c>
      <c r="B187" s="11" t="s">
        <v>122</v>
      </c>
      <c r="C187" s="11" t="s">
        <v>119</v>
      </c>
      <c r="D187" s="11"/>
      <c r="E187" s="11"/>
      <c r="F187" s="19">
        <f>F188</f>
        <v>1570</v>
      </c>
      <c r="G187" s="19">
        <f aca="true" t="shared" si="18" ref="G187:I189">G188</f>
        <v>0</v>
      </c>
      <c r="H187" s="19">
        <f t="shared" si="18"/>
        <v>1551.2</v>
      </c>
      <c r="I187" s="19">
        <f t="shared" si="18"/>
        <v>0</v>
      </c>
      <c r="J187" s="20"/>
    </row>
    <row r="188" spans="1:10" ht="14.25">
      <c r="A188" s="7" t="s">
        <v>78</v>
      </c>
      <c r="B188" s="8" t="s">
        <v>122</v>
      </c>
      <c r="C188" s="8" t="s">
        <v>119</v>
      </c>
      <c r="D188" s="8" t="s">
        <v>79</v>
      </c>
      <c r="E188" s="8"/>
      <c r="F188" s="20">
        <f>F189</f>
        <v>1570</v>
      </c>
      <c r="G188" s="20">
        <f t="shared" si="18"/>
        <v>0</v>
      </c>
      <c r="H188" s="20">
        <f t="shared" si="18"/>
        <v>1551.2</v>
      </c>
      <c r="I188" s="20">
        <f t="shared" si="18"/>
        <v>0</v>
      </c>
      <c r="J188" s="20"/>
    </row>
    <row r="189" spans="1:10" ht="56.25" customHeight="1">
      <c r="A189" s="15" t="s">
        <v>298</v>
      </c>
      <c r="B189" s="8" t="s">
        <v>122</v>
      </c>
      <c r="C189" s="8" t="s">
        <v>119</v>
      </c>
      <c r="D189" s="8" t="s">
        <v>254</v>
      </c>
      <c r="E189" s="8"/>
      <c r="F189" s="20">
        <f>F190</f>
        <v>1570</v>
      </c>
      <c r="G189" s="20">
        <f t="shared" si="18"/>
        <v>0</v>
      </c>
      <c r="H189" s="20">
        <f t="shared" si="18"/>
        <v>1551.2</v>
      </c>
      <c r="I189" s="20">
        <f t="shared" si="18"/>
        <v>0</v>
      </c>
      <c r="J189" s="20"/>
    </row>
    <row r="190" spans="1:10" ht="14.25">
      <c r="A190" s="7" t="s">
        <v>86</v>
      </c>
      <c r="B190" s="8" t="s">
        <v>122</v>
      </c>
      <c r="C190" s="8" t="s">
        <v>119</v>
      </c>
      <c r="D190" s="8" t="s">
        <v>254</v>
      </c>
      <c r="E190" s="8" t="s">
        <v>150</v>
      </c>
      <c r="F190" s="20">
        <f>'Прилож №8'!G160+'Прилож №8'!G547</f>
        <v>1570</v>
      </c>
      <c r="G190" s="20">
        <f>'Прилож №8'!H160+'Прилож №8'!H547</f>
        <v>0</v>
      </c>
      <c r="H190" s="20">
        <f>'Прилож №8'!I160+'Прилож №8'!I547</f>
        <v>1551.2</v>
      </c>
      <c r="I190" s="20">
        <f>'Прилож №8'!J160+'Прилож №8'!J547</f>
        <v>0</v>
      </c>
      <c r="J190" s="20"/>
    </row>
    <row r="191" spans="1:10" ht="15">
      <c r="A191" s="10" t="s">
        <v>2</v>
      </c>
      <c r="B191" s="11" t="s">
        <v>114</v>
      </c>
      <c r="C191" s="11"/>
      <c r="D191" s="11"/>
      <c r="E191" s="11"/>
      <c r="F191" s="19">
        <f>F192+F229+F273+F294</f>
        <v>1150212.1</v>
      </c>
      <c r="G191" s="19">
        <f>G192+G229+G273+G294</f>
        <v>495726.5</v>
      </c>
      <c r="H191" s="19">
        <f>H192+H229+H273+H294</f>
        <v>1025482.5</v>
      </c>
      <c r="I191" s="19">
        <f>I192+I229+I273+I294</f>
        <v>426707.3</v>
      </c>
      <c r="J191" s="37">
        <v>89</v>
      </c>
    </row>
    <row r="192" spans="1:10" ht="15">
      <c r="A192" s="10" t="s">
        <v>3</v>
      </c>
      <c r="B192" s="11" t="s">
        <v>114</v>
      </c>
      <c r="C192" s="11" t="s">
        <v>106</v>
      </c>
      <c r="D192" s="11"/>
      <c r="E192" s="11"/>
      <c r="F192" s="19">
        <f>F193+F207+F223+F203</f>
        <v>475377.8</v>
      </c>
      <c r="G192" s="19">
        <f>G193+G207+G223+G203</f>
        <v>104664</v>
      </c>
      <c r="H192" s="19">
        <f>H193+H207+H223+H203</f>
        <v>375237.1000000001</v>
      </c>
      <c r="I192" s="19">
        <f>I193+I207+I223+I203</f>
        <v>37097.3</v>
      </c>
      <c r="J192" s="37">
        <f>H192/F192*100</f>
        <v>78.93450220014483</v>
      </c>
    </row>
    <row r="193" spans="1:10" ht="14.25">
      <c r="A193" s="7" t="s">
        <v>4</v>
      </c>
      <c r="B193" s="8" t="s">
        <v>114</v>
      </c>
      <c r="C193" s="8" t="s">
        <v>106</v>
      </c>
      <c r="D193" s="8" t="s">
        <v>13</v>
      </c>
      <c r="E193" s="8"/>
      <c r="F193" s="20">
        <f>F197+F199+F194</f>
        <v>347604.5</v>
      </c>
      <c r="G193" s="20">
        <f>G197+G199+G194</f>
        <v>1706</v>
      </c>
      <c r="H193" s="20">
        <f>H197+H199+H194</f>
        <v>328235.20000000007</v>
      </c>
      <c r="I193" s="20">
        <f>I197+I199+I194</f>
        <v>1705.9</v>
      </c>
      <c r="J193" s="20"/>
    </row>
    <row r="194" spans="1:10" ht="42.75">
      <c r="A194" s="6" t="s">
        <v>495</v>
      </c>
      <c r="B194" s="8" t="s">
        <v>114</v>
      </c>
      <c r="C194" s="8" t="s">
        <v>106</v>
      </c>
      <c r="D194" s="8" t="s">
        <v>494</v>
      </c>
      <c r="E194" s="8"/>
      <c r="F194" s="20">
        <f aca="true" t="shared" si="19" ref="F194:I195">F195</f>
        <v>1706</v>
      </c>
      <c r="G194" s="20">
        <f t="shared" si="19"/>
        <v>1706</v>
      </c>
      <c r="H194" s="20">
        <f t="shared" si="19"/>
        <v>1705.9</v>
      </c>
      <c r="I194" s="20">
        <f t="shared" si="19"/>
        <v>1705.9</v>
      </c>
      <c r="J194" s="20"/>
    </row>
    <row r="195" spans="1:10" ht="52.5" customHeight="1">
      <c r="A195" s="6" t="s">
        <v>496</v>
      </c>
      <c r="B195" s="8" t="s">
        <v>114</v>
      </c>
      <c r="C195" s="8" t="s">
        <v>106</v>
      </c>
      <c r="D195" s="8" t="s">
        <v>493</v>
      </c>
      <c r="E195" s="8"/>
      <c r="F195" s="20">
        <f t="shared" si="19"/>
        <v>1706</v>
      </c>
      <c r="G195" s="20">
        <f t="shared" si="19"/>
        <v>1706</v>
      </c>
      <c r="H195" s="20">
        <f t="shared" si="19"/>
        <v>1705.9</v>
      </c>
      <c r="I195" s="20">
        <f t="shared" si="19"/>
        <v>1705.9</v>
      </c>
      <c r="J195" s="20"/>
    </row>
    <row r="196" spans="1:10" ht="49.5" customHeight="1">
      <c r="A196" s="6" t="s">
        <v>497</v>
      </c>
      <c r="B196" s="8" t="s">
        <v>114</v>
      </c>
      <c r="C196" s="8" t="s">
        <v>106</v>
      </c>
      <c r="D196" s="8" t="s">
        <v>493</v>
      </c>
      <c r="E196" s="8" t="s">
        <v>406</v>
      </c>
      <c r="F196" s="20">
        <f>'Прилож №8'!G284</f>
        <v>1706</v>
      </c>
      <c r="G196" s="20">
        <f>'Прилож №8'!H284</f>
        <v>1706</v>
      </c>
      <c r="H196" s="20">
        <f>'Прилож №8'!I284</f>
        <v>1705.9</v>
      </c>
      <c r="I196" s="20">
        <f>'Прилож №8'!J284</f>
        <v>1705.9</v>
      </c>
      <c r="J196" s="20"/>
    </row>
    <row r="197" spans="1:10" ht="20.25" customHeight="1">
      <c r="A197" s="6" t="s">
        <v>228</v>
      </c>
      <c r="B197" s="8" t="s">
        <v>114</v>
      </c>
      <c r="C197" s="8" t="s">
        <v>106</v>
      </c>
      <c r="D197" s="8" t="s">
        <v>230</v>
      </c>
      <c r="E197" s="8"/>
      <c r="F197" s="20">
        <f>F198</f>
        <v>8765.5</v>
      </c>
      <c r="G197" s="20">
        <f>G198</f>
        <v>0</v>
      </c>
      <c r="H197" s="20">
        <f>H198</f>
        <v>7281.5</v>
      </c>
      <c r="I197" s="20">
        <f>I198</f>
        <v>0</v>
      </c>
      <c r="J197" s="20"/>
    </row>
    <row r="198" spans="1:10" ht="14.25">
      <c r="A198" s="7" t="s">
        <v>147</v>
      </c>
      <c r="B198" s="8" t="s">
        <v>114</v>
      </c>
      <c r="C198" s="8" t="s">
        <v>106</v>
      </c>
      <c r="D198" s="8" t="s">
        <v>230</v>
      </c>
      <c r="E198" s="8" t="s">
        <v>148</v>
      </c>
      <c r="F198" s="20">
        <f>'Прилож №8'!G286</f>
        <v>8765.5</v>
      </c>
      <c r="G198" s="20">
        <f>'Прилож №8'!H286</f>
        <v>0</v>
      </c>
      <c r="H198" s="20">
        <f>'Прилож №8'!I286</f>
        <v>7281.5</v>
      </c>
      <c r="I198" s="20">
        <f>'Прилож №8'!J286</f>
        <v>0</v>
      </c>
      <c r="J198" s="20"/>
    </row>
    <row r="199" spans="1:10" ht="14.25">
      <c r="A199" s="7" t="s">
        <v>14</v>
      </c>
      <c r="B199" s="8" t="s">
        <v>114</v>
      </c>
      <c r="C199" s="8" t="s">
        <v>106</v>
      </c>
      <c r="D199" s="8" t="s">
        <v>124</v>
      </c>
      <c r="E199" s="8"/>
      <c r="F199" s="20">
        <f>F202+F200+F201</f>
        <v>337133</v>
      </c>
      <c r="G199" s="20">
        <f>G202+G200+G201</f>
        <v>0</v>
      </c>
      <c r="H199" s="20">
        <f>H202+H200+H201</f>
        <v>319247.80000000005</v>
      </c>
      <c r="I199" s="20">
        <f>I202+I200+I201</f>
        <v>0</v>
      </c>
      <c r="J199" s="20"/>
    </row>
    <row r="200" spans="1:10" ht="14.25">
      <c r="A200" s="7" t="s">
        <v>95</v>
      </c>
      <c r="B200" s="8" t="s">
        <v>114</v>
      </c>
      <c r="C200" s="8" t="s">
        <v>106</v>
      </c>
      <c r="D200" s="8" t="s">
        <v>124</v>
      </c>
      <c r="E200" s="8" t="s">
        <v>52</v>
      </c>
      <c r="F200" s="20">
        <f>'Прилож №8'!G288</f>
        <v>14.1</v>
      </c>
      <c r="G200" s="20">
        <f>'Прилож №8'!H288</f>
        <v>0</v>
      </c>
      <c r="H200" s="20">
        <f>'Прилож №8'!I288</f>
        <v>8.2</v>
      </c>
      <c r="I200" s="20">
        <f>'Прилож №8'!J288</f>
        <v>0</v>
      </c>
      <c r="J200" s="20"/>
    </row>
    <row r="201" spans="1:10" ht="14.25">
      <c r="A201" s="7" t="s">
        <v>88</v>
      </c>
      <c r="B201" s="8" t="s">
        <v>114</v>
      </c>
      <c r="C201" s="8" t="s">
        <v>106</v>
      </c>
      <c r="D201" s="8" t="s">
        <v>124</v>
      </c>
      <c r="E201" s="8" t="s">
        <v>76</v>
      </c>
      <c r="F201" s="20">
        <f>'Прилож №8'!G289</f>
        <v>42.9</v>
      </c>
      <c r="G201" s="20">
        <f>'Прилож №8'!H289</f>
        <v>0</v>
      </c>
      <c r="H201" s="20">
        <f>'Прилож №8'!I289</f>
        <v>42.9</v>
      </c>
      <c r="I201" s="20">
        <f>'Прилож №8'!J289</f>
        <v>0</v>
      </c>
      <c r="J201" s="20"/>
    </row>
    <row r="202" spans="1:10" ht="14.25">
      <c r="A202" s="7" t="s">
        <v>147</v>
      </c>
      <c r="B202" s="8" t="s">
        <v>114</v>
      </c>
      <c r="C202" s="8" t="s">
        <v>106</v>
      </c>
      <c r="D202" s="8" t="s">
        <v>124</v>
      </c>
      <c r="E202" s="8" t="s">
        <v>148</v>
      </c>
      <c r="F202" s="20">
        <f>'Прилож №8'!G290</f>
        <v>337076</v>
      </c>
      <c r="G202" s="20">
        <f>'Прилож №8'!H290</f>
        <v>0</v>
      </c>
      <c r="H202" s="20">
        <f>'Прилож №8'!I290</f>
        <v>319196.7</v>
      </c>
      <c r="I202" s="20">
        <f>'Прилож №8'!J290</f>
        <v>0</v>
      </c>
      <c r="J202" s="20"/>
    </row>
    <row r="203" spans="1:10" ht="14.25">
      <c r="A203" s="7" t="s">
        <v>74</v>
      </c>
      <c r="B203" s="8" t="s">
        <v>114</v>
      </c>
      <c r="C203" s="8" t="s">
        <v>106</v>
      </c>
      <c r="D203" s="8" t="s">
        <v>58</v>
      </c>
      <c r="E203" s="8"/>
      <c r="F203" s="20">
        <f aca="true" t="shared" si="20" ref="F203:I205">F204</f>
        <v>90</v>
      </c>
      <c r="G203" s="20">
        <f t="shared" si="20"/>
        <v>90</v>
      </c>
      <c r="H203" s="20">
        <f t="shared" si="20"/>
        <v>90</v>
      </c>
      <c r="I203" s="20">
        <f t="shared" si="20"/>
        <v>90</v>
      </c>
      <c r="J203" s="20"/>
    </row>
    <row r="204" spans="1:10" ht="71.25">
      <c r="A204" s="6" t="s">
        <v>503</v>
      </c>
      <c r="B204" s="8" t="s">
        <v>114</v>
      </c>
      <c r="C204" s="8" t="s">
        <v>106</v>
      </c>
      <c r="D204" s="8" t="s">
        <v>485</v>
      </c>
      <c r="E204" s="8"/>
      <c r="F204" s="20">
        <f t="shared" si="20"/>
        <v>90</v>
      </c>
      <c r="G204" s="20">
        <f t="shared" si="20"/>
        <v>90</v>
      </c>
      <c r="H204" s="20">
        <f t="shared" si="20"/>
        <v>90</v>
      </c>
      <c r="I204" s="20">
        <f t="shared" si="20"/>
        <v>90</v>
      </c>
      <c r="J204" s="20"/>
    </row>
    <row r="205" spans="1:10" ht="28.5">
      <c r="A205" s="6" t="s">
        <v>487</v>
      </c>
      <c r="B205" s="8" t="s">
        <v>114</v>
      </c>
      <c r="C205" s="8" t="s">
        <v>106</v>
      </c>
      <c r="D205" s="8" t="s">
        <v>486</v>
      </c>
      <c r="E205" s="8"/>
      <c r="F205" s="20">
        <f t="shared" si="20"/>
        <v>90</v>
      </c>
      <c r="G205" s="20">
        <f t="shared" si="20"/>
        <v>90</v>
      </c>
      <c r="H205" s="20">
        <f t="shared" si="20"/>
        <v>90</v>
      </c>
      <c r="I205" s="20">
        <f t="shared" si="20"/>
        <v>90</v>
      </c>
      <c r="J205" s="20"/>
    </row>
    <row r="206" spans="1:10" ht="14.25">
      <c r="A206" s="7" t="s">
        <v>306</v>
      </c>
      <c r="B206" s="8" t="s">
        <v>114</v>
      </c>
      <c r="C206" s="8" t="s">
        <v>106</v>
      </c>
      <c r="D206" s="8" t="s">
        <v>486</v>
      </c>
      <c r="E206" s="8" t="s">
        <v>406</v>
      </c>
      <c r="F206" s="20">
        <f>'Прилож №8'!G294</f>
        <v>90</v>
      </c>
      <c r="G206" s="20">
        <f>'Прилож №8'!H294</f>
        <v>90</v>
      </c>
      <c r="H206" s="20">
        <f>'Прилож №8'!I294</f>
        <v>90</v>
      </c>
      <c r="I206" s="20">
        <f>'Прилож №8'!J294</f>
        <v>90</v>
      </c>
      <c r="J206" s="20"/>
    </row>
    <row r="207" spans="1:10" ht="14.25">
      <c r="A207" s="7" t="s">
        <v>219</v>
      </c>
      <c r="B207" s="8" t="s">
        <v>114</v>
      </c>
      <c r="C207" s="8" t="s">
        <v>106</v>
      </c>
      <c r="D207" s="8" t="s">
        <v>218</v>
      </c>
      <c r="E207" s="8"/>
      <c r="F207" s="20">
        <f>F214+F208+F209</f>
        <v>102967.8</v>
      </c>
      <c r="G207" s="20">
        <f>G214+G208+G209</f>
        <v>102868</v>
      </c>
      <c r="H207" s="20">
        <f>H214+H208+H209</f>
        <v>35401.2</v>
      </c>
      <c r="I207" s="20">
        <f>I214+I208+I209</f>
        <v>35301.4</v>
      </c>
      <c r="J207" s="20"/>
    </row>
    <row r="208" spans="1:10" ht="30" customHeight="1">
      <c r="A208" s="6" t="s">
        <v>369</v>
      </c>
      <c r="B208" s="8" t="s">
        <v>114</v>
      </c>
      <c r="C208" s="8" t="s">
        <v>106</v>
      </c>
      <c r="D208" s="8" t="s">
        <v>366</v>
      </c>
      <c r="E208" s="8"/>
      <c r="F208" s="20">
        <f>F212</f>
        <v>99.8</v>
      </c>
      <c r="G208" s="20">
        <f>G212</f>
        <v>0</v>
      </c>
      <c r="H208" s="20">
        <f>H212</f>
        <v>99.8</v>
      </c>
      <c r="I208" s="20">
        <f>I212</f>
        <v>0</v>
      </c>
      <c r="J208" s="20"/>
    </row>
    <row r="209" spans="1:10" ht="33.75" customHeight="1">
      <c r="A209" s="6" t="s">
        <v>464</v>
      </c>
      <c r="B209" s="8" t="s">
        <v>114</v>
      </c>
      <c r="C209" s="8" t="s">
        <v>106</v>
      </c>
      <c r="D209" s="8" t="s">
        <v>463</v>
      </c>
      <c r="E209" s="8"/>
      <c r="F209" s="20">
        <f>F210+F211</f>
        <v>4298</v>
      </c>
      <c r="G209" s="20">
        <f>G210+G211</f>
        <v>4298</v>
      </c>
      <c r="H209" s="20">
        <f>H210+H211</f>
        <v>4298</v>
      </c>
      <c r="I209" s="20">
        <f>I210+I211</f>
        <v>4298</v>
      </c>
      <c r="J209" s="20"/>
    </row>
    <row r="210" spans="1:10" ht="20.25" customHeight="1">
      <c r="A210" s="7" t="s">
        <v>306</v>
      </c>
      <c r="B210" s="8" t="s">
        <v>114</v>
      </c>
      <c r="C210" s="8" t="s">
        <v>106</v>
      </c>
      <c r="D210" s="8" t="s">
        <v>463</v>
      </c>
      <c r="E210" s="8" t="s">
        <v>303</v>
      </c>
      <c r="F210" s="20">
        <f>'Прилож №8'!G298</f>
        <v>1848.1</v>
      </c>
      <c r="G210" s="20">
        <f>'Прилож №8'!H298</f>
        <v>1848.1</v>
      </c>
      <c r="H210" s="20">
        <f>'Прилож №8'!I298</f>
        <v>1848.1</v>
      </c>
      <c r="I210" s="20">
        <f>'Прилож №8'!J298</f>
        <v>1848.1</v>
      </c>
      <c r="J210" s="20"/>
    </row>
    <row r="211" spans="1:10" ht="18.75" customHeight="1">
      <c r="A211" s="7" t="s">
        <v>307</v>
      </c>
      <c r="B211" s="8" t="s">
        <v>114</v>
      </c>
      <c r="C211" s="8" t="s">
        <v>106</v>
      </c>
      <c r="D211" s="8" t="s">
        <v>463</v>
      </c>
      <c r="E211" s="8" t="s">
        <v>304</v>
      </c>
      <c r="F211" s="20">
        <f>'Прилож №8'!G299</f>
        <v>2449.9</v>
      </c>
      <c r="G211" s="20">
        <f>'Прилож №8'!H299</f>
        <v>2449.9</v>
      </c>
      <c r="H211" s="20">
        <f>'Прилож №8'!I299</f>
        <v>2449.9</v>
      </c>
      <c r="I211" s="20">
        <f>'Прилож №8'!J299</f>
        <v>2449.9</v>
      </c>
      <c r="J211" s="20"/>
    </row>
    <row r="212" spans="1:10" ht="71.25">
      <c r="A212" s="6" t="s">
        <v>370</v>
      </c>
      <c r="B212" s="8" t="s">
        <v>114</v>
      </c>
      <c r="C212" s="8" t="s">
        <v>106</v>
      </c>
      <c r="D212" s="8" t="s">
        <v>368</v>
      </c>
      <c r="E212" s="8"/>
      <c r="F212" s="20">
        <f>F213</f>
        <v>99.8</v>
      </c>
      <c r="G212" s="20">
        <f>G213</f>
        <v>0</v>
      </c>
      <c r="H212" s="20">
        <f>H213</f>
        <v>99.8</v>
      </c>
      <c r="I212" s="20">
        <f>I213</f>
        <v>0</v>
      </c>
      <c r="J212" s="20"/>
    </row>
    <row r="213" spans="1:10" ht="14.25">
      <c r="A213" s="7" t="s">
        <v>306</v>
      </c>
      <c r="B213" s="8" t="s">
        <v>114</v>
      </c>
      <c r="C213" s="8" t="s">
        <v>106</v>
      </c>
      <c r="D213" s="8" t="s">
        <v>367</v>
      </c>
      <c r="E213" s="8" t="s">
        <v>303</v>
      </c>
      <c r="F213" s="20">
        <f>'Прилож №8'!G301</f>
        <v>99.8</v>
      </c>
      <c r="G213" s="20">
        <f>'Прилож №8'!H301</f>
        <v>0</v>
      </c>
      <c r="H213" s="20">
        <f>'Прилож №8'!I301</f>
        <v>99.8</v>
      </c>
      <c r="I213" s="20">
        <f>'Прилож №8'!J301</f>
        <v>0</v>
      </c>
      <c r="J213" s="20"/>
    </row>
    <row r="214" spans="1:10" ht="42.75">
      <c r="A214" s="6" t="s">
        <v>461</v>
      </c>
      <c r="B214" s="8" t="s">
        <v>114</v>
      </c>
      <c r="C214" s="8" t="s">
        <v>106</v>
      </c>
      <c r="D214" s="8" t="s">
        <v>457</v>
      </c>
      <c r="E214" s="8"/>
      <c r="F214" s="20">
        <f>F215+F218+F221</f>
        <v>98570</v>
      </c>
      <c r="G214" s="20">
        <f>G215+G218+G221</f>
        <v>98570</v>
      </c>
      <c r="H214" s="20">
        <f>H215+H218+H221</f>
        <v>31003.4</v>
      </c>
      <c r="I214" s="20">
        <f>I215+I218+I221</f>
        <v>31003.4</v>
      </c>
      <c r="J214" s="20"/>
    </row>
    <row r="215" spans="1:10" ht="14.25">
      <c r="A215" s="6" t="s">
        <v>284</v>
      </c>
      <c r="B215" s="8" t="s">
        <v>114</v>
      </c>
      <c r="C215" s="8" t="s">
        <v>106</v>
      </c>
      <c r="D215" s="8" t="s">
        <v>283</v>
      </c>
      <c r="E215" s="8"/>
      <c r="F215" s="20">
        <f>F216+F217</f>
        <v>67269</v>
      </c>
      <c r="G215" s="20">
        <f>G216+G217</f>
        <v>67269</v>
      </c>
      <c r="H215" s="20">
        <f>H216+H217</f>
        <v>0</v>
      </c>
      <c r="I215" s="20">
        <f>I216+I217</f>
        <v>0</v>
      </c>
      <c r="J215" s="20"/>
    </row>
    <row r="216" spans="1:10" ht="43.5">
      <c r="A216" s="35" t="s">
        <v>423</v>
      </c>
      <c r="B216" s="8" t="s">
        <v>114</v>
      </c>
      <c r="C216" s="8" t="s">
        <v>106</v>
      </c>
      <c r="D216" s="8" t="s">
        <v>283</v>
      </c>
      <c r="E216" s="8" t="s">
        <v>407</v>
      </c>
      <c r="F216" s="20">
        <f>'Прилож №8'!G166</f>
        <v>60750</v>
      </c>
      <c r="G216" s="20">
        <f>'Прилож №8'!H166</f>
        <v>60750</v>
      </c>
      <c r="H216" s="20">
        <f>'Прилож №8'!I166</f>
        <v>0</v>
      </c>
      <c r="I216" s="20">
        <f>'Прилож №8'!J166</f>
        <v>0</v>
      </c>
      <c r="J216" s="20"/>
    </row>
    <row r="217" spans="1:10" ht="43.5">
      <c r="A217" s="35" t="s">
        <v>469</v>
      </c>
      <c r="B217" s="8" t="s">
        <v>114</v>
      </c>
      <c r="C217" s="8" t="s">
        <v>106</v>
      </c>
      <c r="D217" s="8" t="s">
        <v>283</v>
      </c>
      <c r="E217" s="8" t="s">
        <v>407</v>
      </c>
      <c r="F217" s="20">
        <f>'Прилож №8'!G167</f>
        <v>6519</v>
      </c>
      <c r="G217" s="20">
        <f>'Прилож №8'!H167</f>
        <v>6519</v>
      </c>
      <c r="H217" s="20">
        <f>'Прилож №8'!I167</f>
        <v>0</v>
      </c>
      <c r="I217" s="20">
        <f>'Прилож №8'!J167</f>
        <v>0</v>
      </c>
      <c r="J217" s="20"/>
    </row>
    <row r="218" spans="1:10" ht="28.5">
      <c r="A218" s="6" t="s">
        <v>458</v>
      </c>
      <c r="B218" s="8" t="s">
        <v>114</v>
      </c>
      <c r="C218" s="8" t="s">
        <v>106</v>
      </c>
      <c r="D218" s="8" t="s">
        <v>462</v>
      </c>
      <c r="E218" s="8"/>
      <c r="F218" s="20">
        <f>'Прилож №8'!G303</f>
        <v>30795</v>
      </c>
      <c r="G218" s="20">
        <f>'Прилож №8'!H303</f>
        <v>30795</v>
      </c>
      <c r="H218" s="20">
        <f>'Прилож №8'!I303</f>
        <v>30795</v>
      </c>
      <c r="I218" s="20">
        <f>'Прилож №8'!J303</f>
        <v>30795</v>
      </c>
      <c r="J218" s="20"/>
    </row>
    <row r="219" spans="1:10" ht="14.25">
      <c r="A219" s="7" t="s">
        <v>306</v>
      </c>
      <c r="B219" s="8" t="s">
        <v>114</v>
      </c>
      <c r="C219" s="8" t="s">
        <v>106</v>
      </c>
      <c r="D219" s="8" t="s">
        <v>462</v>
      </c>
      <c r="E219" s="8" t="s">
        <v>303</v>
      </c>
      <c r="F219" s="20">
        <f>'Прилож №8'!G304</f>
        <v>16809.4</v>
      </c>
      <c r="G219" s="20">
        <f>'Прилож №8'!H304</f>
        <v>16809.4</v>
      </c>
      <c r="H219" s="20">
        <f>'Прилож №8'!I304</f>
        <v>16809.4</v>
      </c>
      <c r="I219" s="20">
        <f>'Прилож №8'!J304</f>
        <v>16809.4</v>
      </c>
      <c r="J219" s="20"/>
    </row>
    <row r="220" spans="1:10" ht="14.25">
      <c r="A220" s="7" t="s">
        <v>307</v>
      </c>
      <c r="B220" s="8" t="s">
        <v>114</v>
      </c>
      <c r="C220" s="8" t="s">
        <v>106</v>
      </c>
      <c r="D220" s="8" t="s">
        <v>462</v>
      </c>
      <c r="E220" s="8" t="s">
        <v>304</v>
      </c>
      <c r="F220" s="20">
        <f>'Прилож №8'!G305</f>
        <v>13985.6</v>
      </c>
      <c r="G220" s="20">
        <f>'Прилож №8'!H305</f>
        <v>13985.6</v>
      </c>
      <c r="H220" s="20">
        <f>'Прилож №8'!I305</f>
        <v>13985.6</v>
      </c>
      <c r="I220" s="20">
        <f>'Прилож №8'!J305</f>
        <v>13985.6</v>
      </c>
      <c r="J220" s="20"/>
    </row>
    <row r="221" spans="1:10" ht="36.75" customHeight="1">
      <c r="A221" s="6" t="s">
        <v>468</v>
      </c>
      <c r="B221" s="8" t="s">
        <v>114</v>
      </c>
      <c r="C221" s="8" t="s">
        <v>106</v>
      </c>
      <c r="D221" s="8" t="s">
        <v>467</v>
      </c>
      <c r="E221" s="8"/>
      <c r="F221" s="20">
        <f>F222</f>
        <v>506</v>
      </c>
      <c r="G221" s="20">
        <f>G222</f>
        <v>506</v>
      </c>
      <c r="H221" s="20">
        <f>H222</f>
        <v>208.4</v>
      </c>
      <c r="I221" s="20">
        <f>I222</f>
        <v>208.4</v>
      </c>
      <c r="J221" s="20"/>
    </row>
    <row r="222" spans="1:10" ht="14.25">
      <c r="A222" s="44" t="s">
        <v>310</v>
      </c>
      <c r="B222" s="8" t="s">
        <v>114</v>
      </c>
      <c r="C222" s="8" t="s">
        <v>106</v>
      </c>
      <c r="D222" s="8" t="s">
        <v>467</v>
      </c>
      <c r="E222" s="8" t="s">
        <v>309</v>
      </c>
      <c r="F222" s="20">
        <f>'Прилож №8'!G307</f>
        <v>506</v>
      </c>
      <c r="G222" s="20">
        <f>'Прилож №8'!H307</f>
        <v>506</v>
      </c>
      <c r="H222" s="20">
        <f>'Прилож №8'!I307</f>
        <v>208.4</v>
      </c>
      <c r="I222" s="20">
        <f>'Прилож №8'!J307</f>
        <v>208.4</v>
      </c>
      <c r="J222" s="20"/>
    </row>
    <row r="223" spans="1:10" ht="14.25">
      <c r="A223" s="7" t="s">
        <v>78</v>
      </c>
      <c r="B223" s="8" t="s">
        <v>114</v>
      </c>
      <c r="C223" s="8" t="s">
        <v>106</v>
      </c>
      <c r="D223" s="8" t="s">
        <v>79</v>
      </c>
      <c r="E223" s="8"/>
      <c r="F223" s="20">
        <f>F224</f>
        <v>24715.5</v>
      </c>
      <c r="G223" s="20">
        <f>G224</f>
        <v>0</v>
      </c>
      <c r="H223" s="20">
        <f>H224</f>
        <v>11510.7</v>
      </c>
      <c r="I223" s="20">
        <f>I224</f>
        <v>0</v>
      </c>
      <c r="J223" s="20"/>
    </row>
    <row r="224" spans="1:10" ht="28.5">
      <c r="A224" s="6" t="s">
        <v>289</v>
      </c>
      <c r="B224" s="8" t="s">
        <v>114</v>
      </c>
      <c r="C224" s="8" t="s">
        <v>106</v>
      </c>
      <c r="D224" s="8" t="s">
        <v>256</v>
      </c>
      <c r="E224" s="8"/>
      <c r="F224" s="20">
        <f>F225+F226+F227+F228</f>
        <v>24715.5</v>
      </c>
      <c r="G224" s="20">
        <f>G225+G226+G227+G228</f>
        <v>0</v>
      </c>
      <c r="H224" s="20">
        <f>H225+H226+H227+H228</f>
        <v>11510.7</v>
      </c>
      <c r="I224" s="20">
        <f>I225+I226+I227+I228</f>
        <v>0</v>
      </c>
      <c r="J224" s="20"/>
    </row>
    <row r="225" spans="1:10" ht="42.75">
      <c r="A225" s="6" t="s">
        <v>422</v>
      </c>
      <c r="B225" s="8" t="s">
        <v>114</v>
      </c>
      <c r="C225" s="8" t="s">
        <v>106</v>
      </c>
      <c r="D225" s="8" t="s">
        <v>256</v>
      </c>
      <c r="E225" s="8" t="s">
        <v>40</v>
      </c>
      <c r="F225" s="20">
        <f>'Прилож №8'!G170</f>
        <v>22165.5</v>
      </c>
      <c r="G225" s="20">
        <f>'Прилож №8'!H170</f>
        <v>0</v>
      </c>
      <c r="H225" s="20">
        <f>'Прилож №8'!I170</f>
        <v>11491.5</v>
      </c>
      <c r="I225" s="20">
        <f>'Прилож №8'!J170</f>
        <v>0</v>
      </c>
      <c r="J225" s="20"/>
    </row>
    <row r="226" spans="1:10" ht="43.5">
      <c r="A226" s="35" t="s">
        <v>454</v>
      </c>
      <c r="B226" s="8" t="s">
        <v>114</v>
      </c>
      <c r="C226" s="8" t="s">
        <v>106</v>
      </c>
      <c r="D226" s="8" t="s">
        <v>256</v>
      </c>
      <c r="E226" s="8" t="s">
        <v>40</v>
      </c>
      <c r="F226" s="20">
        <f>'Прилож №8'!G171</f>
        <v>0</v>
      </c>
      <c r="G226" s="20">
        <f>'Прилож №8'!H171</f>
        <v>0</v>
      </c>
      <c r="H226" s="20">
        <f>'Прилож №8'!I171</f>
        <v>0</v>
      </c>
      <c r="I226" s="20">
        <f>'Прилож №8'!J171</f>
        <v>0</v>
      </c>
      <c r="J226" s="20"/>
    </row>
    <row r="227" spans="1:10" ht="57.75">
      <c r="A227" s="35" t="s">
        <v>445</v>
      </c>
      <c r="B227" s="8" t="s">
        <v>114</v>
      </c>
      <c r="C227" s="8" t="s">
        <v>106</v>
      </c>
      <c r="D227" s="8" t="s">
        <v>256</v>
      </c>
      <c r="E227" s="8" t="s">
        <v>40</v>
      </c>
      <c r="F227" s="20">
        <f>'Прилож №8'!G172</f>
        <v>2500</v>
      </c>
      <c r="G227" s="20">
        <f>'Прилож №8'!H172</f>
        <v>0</v>
      </c>
      <c r="H227" s="20">
        <f>'Прилож №8'!I172</f>
        <v>0</v>
      </c>
      <c r="I227" s="20">
        <f>'Прилож №8'!J172</f>
        <v>0</v>
      </c>
      <c r="J227" s="20"/>
    </row>
    <row r="228" spans="1:10" ht="14.25">
      <c r="A228" s="7" t="s">
        <v>147</v>
      </c>
      <c r="B228" s="8" t="s">
        <v>114</v>
      </c>
      <c r="C228" s="8" t="s">
        <v>106</v>
      </c>
      <c r="D228" s="8" t="s">
        <v>256</v>
      </c>
      <c r="E228" s="8" t="s">
        <v>148</v>
      </c>
      <c r="F228" s="20">
        <f>'Прилож №8'!G310</f>
        <v>50</v>
      </c>
      <c r="G228" s="20">
        <f>'Прилож №8'!H310</f>
        <v>0</v>
      </c>
      <c r="H228" s="20">
        <f>'Прилож №8'!I310</f>
        <v>19.2</v>
      </c>
      <c r="I228" s="20">
        <f>'Прилож №8'!J310</f>
        <v>0</v>
      </c>
      <c r="J228" s="20"/>
    </row>
    <row r="229" spans="1:10" ht="15">
      <c r="A229" s="10" t="s">
        <v>5</v>
      </c>
      <c r="B229" s="11" t="s">
        <v>114</v>
      </c>
      <c r="C229" s="11" t="s">
        <v>107</v>
      </c>
      <c r="D229" s="11"/>
      <c r="E229" s="11"/>
      <c r="F229" s="19">
        <f>F230+F247+F259+F253</f>
        <v>542772.7000000001</v>
      </c>
      <c r="G229" s="19">
        <f>G230+G247+G259+G253</f>
        <v>371699</v>
      </c>
      <c r="H229" s="19">
        <f>H230+H247+H259+H253</f>
        <v>530647</v>
      </c>
      <c r="I229" s="19">
        <f>I230+I247+I259+I253</f>
        <v>370246.5</v>
      </c>
      <c r="J229" s="37">
        <f>H229/F229*100</f>
        <v>97.76597091194895</v>
      </c>
    </row>
    <row r="230" spans="1:10" ht="33.75" customHeight="1">
      <c r="A230" s="6" t="s">
        <v>182</v>
      </c>
      <c r="B230" s="8" t="s">
        <v>114</v>
      </c>
      <c r="C230" s="8" t="s">
        <v>107</v>
      </c>
      <c r="D230" s="8" t="s">
        <v>15</v>
      </c>
      <c r="E230" s="8"/>
      <c r="F230" s="20">
        <f>F231+F234+F241+F243+F237</f>
        <v>403058.30000000005</v>
      </c>
      <c r="G230" s="20">
        <f>G231+G234+G241+G243+G237</f>
        <v>335774</v>
      </c>
      <c r="H230" s="20">
        <f>H231+H234+H241+H243+H237</f>
        <v>394583.70000000007</v>
      </c>
      <c r="I230" s="20">
        <f>I231+I234+I241+I243+I237</f>
        <v>334997</v>
      </c>
      <c r="J230" s="20"/>
    </row>
    <row r="231" spans="1:10" ht="144.75" customHeight="1">
      <c r="A231" s="6" t="s">
        <v>315</v>
      </c>
      <c r="B231" s="8" t="s">
        <v>114</v>
      </c>
      <c r="C231" s="8" t="s">
        <v>107</v>
      </c>
      <c r="D231" s="8" t="s">
        <v>308</v>
      </c>
      <c r="E231" s="8"/>
      <c r="F231" s="20">
        <f>F232+F233</f>
        <v>310922.9</v>
      </c>
      <c r="G231" s="20">
        <f>G232+G233</f>
        <v>310904.1</v>
      </c>
      <c r="H231" s="20">
        <f>H232+H233</f>
        <v>310145.9</v>
      </c>
      <c r="I231" s="20">
        <f>I232+I233</f>
        <v>310127.1</v>
      </c>
      <c r="J231" s="20"/>
    </row>
    <row r="232" spans="1:10" ht="16.5" customHeight="1">
      <c r="A232" s="7" t="s">
        <v>306</v>
      </c>
      <c r="B232" s="8" t="s">
        <v>114</v>
      </c>
      <c r="C232" s="8" t="s">
        <v>107</v>
      </c>
      <c r="D232" s="8" t="s">
        <v>308</v>
      </c>
      <c r="E232" s="8" t="s">
        <v>303</v>
      </c>
      <c r="F232" s="20">
        <f>'Прилож №8'!G314</f>
        <v>56628.3</v>
      </c>
      <c r="G232" s="20">
        <f>'Прилож №8'!H314</f>
        <v>56609.5</v>
      </c>
      <c r="H232" s="20">
        <f>'Прилож №8'!I314</f>
        <v>56628.3</v>
      </c>
      <c r="I232" s="20">
        <f>'Прилож №8'!J314</f>
        <v>56609.5</v>
      </c>
      <c r="J232" s="20"/>
    </row>
    <row r="233" spans="1:10" ht="17.25" customHeight="1">
      <c r="A233" s="7" t="s">
        <v>307</v>
      </c>
      <c r="B233" s="8" t="s">
        <v>114</v>
      </c>
      <c r="C233" s="8" t="s">
        <v>107</v>
      </c>
      <c r="D233" s="8" t="s">
        <v>308</v>
      </c>
      <c r="E233" s="8" t="s">
        <v>304</v>
      </c>
      <c r="F233" s="20">
        <f>'Прилож №8'!G315</f>
        <v>254294.6</v>
      </c>
      <c r="G233" s="20">
        <f>'Прилож №8'!H315</f>
        <v>254294.6</v>
      </c>
      <c r="H233" s="20">
        <f>'Прилож №8'!I315</f>
        <v>253517.6</v>
      </c>
      <c r="I233" s="20">
        <f>'Прилож №8'!J315</f>
        <v>253517.6</v>
      </c>
      <c r="J233" s="20"/>
    </row>
    <row r="234" spans="1:10" ht="57.75" customHeight="1">
      <c r="A234" s="6" t="s">
        <v>314</v>
      </c>
      <c r="B234" s="8" t="s">
        <v>114</v>
      </c>
      <c r="C234" s="8" t="s">
        <v>107</v>
      </c>
      <c r="D234" s="8" t="s">
        <v>311</v>
      </c>
      <c r="E234" s="8"/>
      <c r="F234" s="20">
        <f>F235+F236</f>
        <v>15982.199999999999</v>
      </c>
      <c r="G234" s="20">
        <f>G235+G236</f>
        <v>15982</v>
      </c>
      <c r="H234" s="20">
        <f>H235+H236</f>
        <v>15982.199999999999</v>
      </c>
      <c r="I234" s="20">
        <f>I235+I236</f>
        <v>15982</v>
      </c>
      <c r="J234" s="20"/>
    </row>
    <row r="235" spans="1:10" ht="16.5" customHeight="1">
      <c r="A235" s="7" t="s">
        <v>306</v>
      </c>
      <c r="B235" s="8" t="s">
        <v>114</v>
      </c>
      <c r="C235" s="8" t="s">
        <v>107</v>
      </c>
      <c r="D235" s="8" t="s">
        <v>311</v>
      </c>
      <c r="E235" s="8" t="s">
        <v>303</v>
      </c>
      <c r="F235" s="20">
        <f>'Прилож №8'!G321</f>
        <v>2808.4</v>
      </c>
      <c r="G235" s="20">
        <f>'Прилож №8'!H321</f>
        <v>2808.2</v>
      </c>
      <c r="H235" s="20">
        <f>'Прилож №8'!I321</f>
        <v>2808.4</v>
      </c>
      <c r="I235" s="20">
        <f>'Прилож №8'!J321</f>
        <v>2808.2</v>
      </c>
      <c r="J235" s="20"/>
    </row>
    <row r="236" spans="1:10" ht="18" customHeight="1">
      <c r="A236" s="7" t="s">
        <v>307</v>
      </c>
      <c r="B236" s="8" t="s">
        <v>114</v>
      </c>
      <c r="C236" s="8" t="s">
        <v>107</v>
      </c>
      <c r="D236" s="8" t="s">
        <v>311</v>
      </c>
      <c r="E236" s="8" t="s">
        <v>304</v>
      </c>
      <c r="F236" s="20">
        <f>'Прилож №8'!G322</f>
        <v>13173.8</v>
      </c>
      <c r="G236" s="20">
        <f>'Прилож №8'!H322</f>
        <v>13173.8</v>
      </c>
      <c r="H236" s="20">
        <f>'Прилож №8'!I322</f>
        <v>13173.8</v>
      </c>
      <c r="I236" s="20">
        <f>'Прилож №8'!J322</f>
        <v>13173.8</v>
      </c>
      <c r="J236" s="20"/>
    </row>
    <row r="237" spans="1:10" ht="144.75" customHeight="1">
      <c r="A237" s="6" t="s">
        <v>361</v>
      </c>
      <c r="B237" s="8" t="s">
        <v>114</v>
      </c>
      <c r="C237" s="8" t="s">
        <v>107</v>
      </c>
      <c r="D237" s="8" t="s">
        <v>360</v>
      </c>
      <c r="E237" s="8"/>
      <c r="F237" s="20">
        <f>F238+F239+F240</f>
        <v>8887.9</v>
      </c>
      <c r="G237" s="20">
        <f>G238+G239+G240</f>
        <v>8887.9</v>
      </c>
      <c r="H237" s="20">
        <f>H238+H239+H240</f>
        <v>8887.9</v>
      </c>
      <c r="I237" s="20">
        <f>I238+I239+I240</f>
        <v>8887.9</v>
      </c>
      <c r="J237" s="20"/>
    </row>
    <row r="238" spans="1:10" ht="17.25" customHeight="1">
      <c r="A238" s="7" t="s">
        <v>310</v>
      </c>
      <c r="B238" s="8" t="s">
        <v>114</v>
      </c>
      <c r="C238" s="8" t="s">
        <v>107</v>
      </c>
      <c r="D238" s="8" t="s">
        <v>360</v>
      </c>
      <c r="E238" s="8" t="s">
        <v>309</v>
      </c>
      <c r="F238" s="20">
        <f>'Прилож №8'!G317</f>
        <v>7103.9</v>
      </c>
      <c r="G238" s="20">
        <f>'Прилож №8'!H317</f>
        <v>7103.9</v>
      </c>
      <c r="H238" s="20">
        <f>'Прилож №8'!I317</f>
        <v>7103.9</v>
      </c>
      <c r="I238" s="20">
        <f>'Прилож №8'!J317</f>
        <v>7103.9</v>
      </c>
      <c r="J238" s="20"/>
    </row>
    <row r="239" spans="1:10" ht="17.25" customHeight="1">
      <c r="A239" s="7" t="s">
        <v>306</v>
      </c>
      <c r="B239" s="8" t="s">
        <v>114</v>
      </c>
      <c r="C239" s="8" t="s">
        <v>107</v>
      </c>
      <c r="D239" s="8" t="s">
        <v>360</v>
      </c>
      <c r="E239" s="8" t="s">
        <v>303</v>
      </c>
      <c r="F239" s="20">
        <f>'Прилож №8'!G318</f>
        <v>237.3</v>
      </c>
      <c r="G239" s="20">
        <f>'Прилож №8'!H318</f>
        <v>237.3</v>
      </c>
      <c r="H239" s="20">
        <f>'Прилож №8'!I318</f>
        <v>237.3</v>
      </c>
      <c r="I239" s="20">
        <f>'Прилож №8'!J318</f>
        <v>237.3</v>
      </c>
      <c r="J239" s="20"/>
    </row>
    <row r="240" spans="1:10" ht="17.25" customHeight="1">
      <c r="A240" s="7" t="s">
        <v>307</v>
      </c>
      <c r="B240" s="8" t="s">
        <v>114</v>
      </c>
      <c r="C240" s="8" t="s">
        <v>107</v>
      </c>
      <c r="D240" s="8" t="s">
        <v>360</v>
      </c>
      <c r="E240" s="8" t="s">
        <v>304</v>
      </c>
      <c r="F240" s="20">
        <f>'Прилож №8'!G319</f>
        <v>1546.7</v>
      </c>
      <c r="G240" s="20">
        <f>'Прилож №8'!H319</f>
        <v>1546.7</v>
      </c>
      <c r="H240" s="20">
        <f>'Прилож №8'!I319</f>
        <v>1546.7</v>
      </c>
      <c r="I240" s="20">
        <f>'Прилож №8'!J319</f>
        <v>1546.7</v>
      </c>
      <c r="J240" s="20"/>
    </row>
    <row r="241" spans="1:10" ht="21.75" customHeight="1">
      <c r="A241" s="6" t="s">
        <v>228</v>
      </c>
      <c r="B241" s="8" t="s">
        <v>114</v>
      </c>
      <c r="C241" s="8" t="s">
        <v>107</v>
      </c>
      <c r="D241" s="8" t="s">
        <v>231</v>
      </c>
      <c r="E241" s="8"/>
      <c r="F241" s="20">
        <f>F242</f>
        <v>3130.2</v>
      </c>
      <c r="G241" s="20">
        <f>G242</f>
        <v>0</v>
      </c>
      <c r="H241" s="20">
        <f>H242</f>
        <v>3121.9</v>
      </c>
      <c r="I241" s="20">
        <f>I242</f>
        <v>0</v>
      </c>
      <c r="J241" s="20"/>
    </row>
    <row r="242" spans="1:10" ht="18" customHeight="1">
      <c r="A242" s="7" t="s">
        <v>147</v>
      </c>
      <c r="B242" s="8" t="s">
        <v>114</v>
      </c>
      <c r="C242" s="8" t="s">
        <v>107</v>
      </c>
      <c r="D242" s="8" t="s">
        <v>231</v>
      </c>
      <c r="E242" s="8" t="s">
        <v>148</v>
      </c>
      <c r="F242" s="20">
        <f>'Прилож №8'!G324</f>
        <v>3130.2</v>
      </c>
      <c r="G242" s="20">
        <f>'Прилож №8'!H324</f>
        <v>0</v>
      </c>
      <c r="H242" s="20">
        <f>'Прилож №8'!I324</f>
        <v>3121.9</v>
      </c>
      <c r="I242" s="20">
        <f>'Прилож №8'!J324</f>
        <v>0</v>
      </c>
      <c r="J242" s="20"/>
    </row>
    <row r="243" spans="1:10" ht="14.25">
      <c r="A243" s="7" t="s">
        <v>14</v>
      </c>
      <c r="B243" s="8" t="s">
        <v>114</v>
      </c>
      <c r="C243" s="8" t="s">
        <v>107</v>
      </c>
      <c r="D243" s="8" t="s">
        <v>125</v>
      </c>
      <c r="E243" s="8"/>
      <c r="F243" s="20">
        <f>F246+F244+F245</f>
        <v>64135.1</v>
      </c>
      <c r="G243" s="20">
        <f>G246+G244+G245</f>
        <v>0</v>
      </c>
      <c r="H243" s="20">
        <f>H246+H244+H245</f>
        <v>56445.799999999996</v>
      </c>
      <c r="I243" s="20">
        <f>I246+I244+I245</f>
        <v>0</v>
      </c>
      <c r="J243" s="20"/>
    </row>
    <row r="244" spans="1:10" ht="14.25">
      <c r="A244" s="7" t="s">
        <v>95</v>
      </c>
      <c r="B244" s="8" t="s">
        <v>114</v>
      </c>
      <c r="C244" s="8" t="s">
        <v>107</v>
      </c>
      <c r="D244" s="8" t="s">
        <v>125</v>
      </c>
      <c r="E244" s="8" t="s">
        <v>52</v>
      </c>
      <c r="F244" s="20">
        <f>'Прилож №8'!G326</f>
        <v>441.3</v>
      </c>
      <c r="G244" s="20">
        <f>'Прилож №8'!H326</f>
        <v>0</v>
      </c>
      <c r="H244" s="20">
        <f>'Прилож №8'!I326</f>
        <v>434.5</v>
      </c>
      <c r="I244" s="20">
        <f>'Прилож №8'!J326</f>
        <v>0</v>
      </c>
      <c r="J244" s="20"/>
    </row>
    <row r="245" spans="1:10" ht="14.25">
      <c r="A245" s="7" t="s">
        <v>88</v>
      </c>
      <c r="B245" s="8" t="s">
        <v>114</v>
      </c>
      <c r="C245" s="8" t="s">
        <v>107</v>
      </c>
      <c r="D245" s="8" t="s">
        <v>125</v>
      </c>
      <c r="E245" s="8" t="s">
        <v>76</v>
      </c>
      <c r="F245" s="20">
        <f>'Прилож №8'!G327</f>
        <v>222.6</v>
      </c>
      <c r="G245" s="20">
        <f>'Прилож №8'!H327</f>
        <v>0</v>
      </c>
      <c r="H245" s="20">
        <f>'Прилож №8'!I327</f>
        <v>222.6</v>
      </c>
      <c r="I245" s="20">
        <f>'Прилож №8'!J327</f>
        <v>0</v>
      </c>
      <c r="J245" s="20"/>
    </row>
    <row r="246" spans="1:10" ht="14.25">
      <c r="A246" s="7" t="s">
        <v>147</v>
      </c>
      <c r="B246" s="8" t="s">
        <v>114</v>
      </c>
      <c r="C246" s="8" t="s">
        <v>107</v>
      </c>
      <c r="D246" s="8" t="s">
        <v>125</v>
      </c>
      <c r="E246" s="8" t="s">
        <v>148</v>
      </c>
      <c r="F246" s="20">
        <f>'Прилож №8'!G328</f>
        <v>63471.2</v>
      </c>
      <c r="G246" s="20">
        <f>'Прилож №8'!H328</f>
        <v>0</v>
      </c>
      <c r="H246" s="20">
        <f>'Прилож №8'!I328</f>
        <v>55788.7</v>
      </c>
      <c r="I246" s="20">
        <f>'Прилож №8'!J328</f>
        <v>0</v>
      </c>
      <c r="J246" s="20"/>
    </row>
    <row r="247" spans="1:10" ht="14.25">
      <c r="A247" s="7" t="s">
        <v>17</v>
      </c>
      <c r="B247" s="8" t="s">
        <v>114</v>
      </c>
      <c r="C247" s="8" t="s">
        <v>107</v>
      </c>
      <c r="D247" s="8" t="s">
        <v>18</v>
      </c>
      <c r="E247" s="8"/>
      <c r="F247" s="20">
        <f>F248+F250</f>
        <v>103789.40000000001</v>
      </c>
      <c r="G247" s="20">
        <f>G248+G250</f>
        <v>0</v>
      </c>
      <c r="H247" s="20">
        <f>H248+H250</f>
        <v>100813.79999999999</v>
      </c>
      <c r="I247" s="20">
        <f>I248+I250</f>
        <v>0</v>
      </c>
      <c r="J247" s="20"/>
    </row>
    <row r="248" spans="1:10" ht="18" customHeight="1">
      <c r="A248" s="6" t="s">
        <v>228</v>
      </c>
      <c r="B248" s="8" t="s">
        <v>114</v>
      </c>
      <c r="C248" s="8" t="s">
        <v>107</v>
      </c>
      <c r="D248" s="8" t="s">
        <v>232</v>
      </c>
      <c r="E248" s="8"/>
      <c r="F248" s="20">
        <f>F249</f>
        <v>577.7</v>
      </c>
      <c r="G248" s="20">
        <f>G249</f>
        <v>0</v>
      </c>
      <c r="H248" s="20">
        <f>H249</f>
        <v>575.5</v>
      </c>
      <c r="I248" s="20">
        <f>I249</f>
        <v>0</v>
      </c>
      <c r="J248" s="20"/>
    </row>
    <row r="249" spans="1:10" ht="14.25">
      <c r="A249" s="7" t="s">
        <v>147</v>
      </c>
      <c r="B249" s="8" t="s">
        <v>114</v>
      </c>
      <c r="C249" s="8" t="s">
        <v>107</v>
      </c>
      <c r="D249" s="8" t="s">
        <v>232</v>
      </c>
      <c r="E249" s="8" t="s">
        <v>148</v>
      </c>
      <c r="F249" s="20">
        <f>'Прилож №8'!G331+'Прилож №8'!G405</f>
        <v>577.7</v>
      </c>
      <c r="G249" s="20">
        <f>'Прилож №8'!H331+'Прилож №8'!H405</f>
        <v>0</v>
      </c>
      <c r="H249" s="20">
        <f>'Прилож №8'!I331+'Прилож №8'!I405</f>
        <v>575.5</v>
      </c>
      <c r="I249" s="20">
        <f>'Прилож №8'!J331+'Прилож №8'!J405</f>
        <v>0</v>
      </c>
      <c r="J249" s="20"/>
    </row>
    <row r="250" spans="1:10" ht="14.25">
      <c r="A250" s="7" t="s">
        <v>14</v>
      </c>
      <c r="B250" s="8" t="s">
        <v>114</v>
      </c>
      <c r="C250" s="8" t="s">
        <v>107</v>
      </c>
      <c r="D250" s="8" t="s">
        <v>126</v>
      </c>
      <c r="E250" s="8"/>
      <c r="F250" s="20">
        <f>F252+F251</f>
        <v>103211.70000000001</v>
      </c>
      <c r="G250" s="20">
        <f>G252+G251</f>
        <v>0</v>
      </c>
      <c r="H250" s="20">
        <f>H252+H251</f>
        <v>100238.29999999999</v>
      </c>
      <c r="I250" s="20">
        <f>I252+I251</f>
        <v>0</v>
      </c>
      <c r="J250" s="20"/>
    </row>
    <row r="251" spans="1:10" ht="14.25">
      <c r="A251" s="7" t="s">
        <v>95</v>
      </c>
      <c r="B251" s="8" t="s">
        <v>114</v>
      </c>
      <c r="C251" s="8" t="s">
        <v>107</v>
      </c>
      <c r="D251" s="8" t="s">
        <v>126</v>
      </c>
      <c r="E251" s="8" t="s">
        <v>52</v>
      </c>
      <c r="F251" s="20">
        <f>'Прилож №8'!G333+'Прилож №8'!G407</f>
        <v>34.5</v>
      </c>
      <c r="G251" s="20">
        <f>'Прилож №8'!H333+'Прилож №8'!H407</f>
        <v>0</v>
      </c>
      <c r="H251" s="20">
        <f>'Прилож №8'!I333+'Прилож №8'!I407</f>
        <v>34.5</v>
      </c>
      <c r="I251" s="20">
        <f>'Прилож №8'!J333+'Прилож №8'!J407</f>
        <v>0</v>
      </c>
      <c r="J251" s="20"/>
    </row>
    <row r="252" spans="1:10" ht="14.25">
      <c r="A252" s="7" t="s">
        <v>147</v>
      </c>
      <c r="B252" s="8" t="s">
        <v>114</v>
      </c>
      <c r="C252" s="8" t="s">
        <v>107</v>
      </c>
      <c r="D252" s="8" t="s">
        <v>126</v>
      </c>
      <c r="E252" s="8" t="s">
        <v>148</v>
      </c>
      <c r="F252" s="20">
        <f>'Прилож №8'!G334+'Прилож №8'!G408</f>
        <v>103177.20000000001</v>
      </c>
      <c r="G252" s="20">
        <f>'Прилож №8'!H334+'Прилож №8'!H408</f>
        <v>0</v>
      </c>
      <c r="H252" s="20">
        <f>'Прилож №8'!I334+'Прилож №8'!I408</f>
        <v>100203.79999999999</v>
      </c>
      <c r="I252" s="20">
        <f>'Прилож №8'!J334+'Прилож №8'!J408</f>
        <v>0</v>
      </c>
      <c r="J252" s="20"/>
    </row>
    <row r="253" spans="1:10" ht="14.25">
      <c r="A253" s="7" t="s">
        <v>305</v>
      </c>
      <c r="B253" s="8" t="s">
        <v>114</v>
      </c>
      <c r="C253" s="8" t="s">
        <v>107</v>
      </c>
      <c r="D253" s="8" t="s">
        <v>302</v>
      </c>
      <c r="E253" s="8"/>
      <c r="F253" s="20">
        <f>F254+F257</f>
        <v>27930</v>
      </c>
      <c r="G253" s="20">
        <f>G254+G257</f>
        <v>27930</v>
      </c>
      <c r="H253" s="20">
        <f>H254+H257</f>
        <v>27540</v>
      </c>
      <c r="I253" s="20">
        <f>I254+I257</f>
        <v>27540</v>
      </c>
      <c r="J253" s="20"/>
    </row>
    <row r="254" spans="1:10" ht="28.5">
      <c r="A254" s="6" t="s">
        <v>414</v>
      </c>
      <c r="B254" s="8" t="s">
        <v>114</v>
      </c>
      <c r="C254" s="8" t="s">
        <v>107</v>
      </c>
      <c r="D254" s="8" t="s">
        <v>413</v>
      </c>
      <c r="E254" s="8"/>
      <c r="F254" s="20">
        <f>F255+F256</f>
        <v>263</v>
      </c>
      <c r="G254" s="20">
        <f>G255+G256</f>
        <v>263</v>
      </c>
      <c r="H254" s="20">
        <f>H255+H256</f>
        <v>251</v>
      </c>
      <c r="I254" s="20">
        <f>I255+I256</f>
        <v>251</v>
      </c>
      <c r="J254" s="20"/>
    </row>
    <row r="255" spans="1:10" ht="14.25">
      <c r="A255" s="7" t="s">
        <v>306</v>
      </c>
      <c r="B255" s="8" t="s">
        <v>114</v>
      </c>
      <c r="C255" s="8" t="s">
        <v>107</v>
      </c>
      <c r="D255" s="8" t="s">
        <v>413</v>
      </c>
      <c r="E255" s="8" t="s">
        <v>303</v>
      </c>
      <c r="F255" s="20">
        <f>'Прилож №8'!G337</f>
        <v>105.2</v>
      </c>
      <c r="G255" s="20">
        <f>'Прилож №8'!H337</f>
        <v>105.2</v>
      </c>
      <c r="H255" s="20">
        <f>'Прилож №8'!I337</f>
        <v>105.2</v>
      </c>
      <c r="I255" s="20">
        <f>'Прилож №8'!J337</f>
        <v>105.2</v>
      </c>
      <c r="J255" s="20"/>
    </row>
    <row r="256" spans="1:10" ht="14.25">
      <c r="A256" s="7" t="s">
        <v>307</v>
      </c>
      <c r="B256" s="8" t="s">
        <v>114</v>
      </c>
      <c r="C256" s="8" t="s">
        <v>107</v>
      </c>
      <c r="D256" s="8" t="s">
        <v>413</v>
      </c>
      <c r="E256" s="8" t="s">
        <v>304</v>
      </c>
      <c r="F256" s="20">
        <f>'Прилож №8'!G338</f>
        <v>157.8</v>
      </c>
      <c r="G256" s="20">
        <f>'Прилож №8'!H338</f>
        <v>157.8</v>
      </c>
      <c r="H256" s="20">
        <f>'Прилож №8'!I338</f>
        <v>145.8</v>
      </c>
      <c r="I256" s="20">
        <f>'Прилож №8'!J338</f>
        <v>145.8</v>
      </c>
      <c r="J256" s="20"/>
    </row>
    <row r="257" spans="1:10" ht="14.25">
      <c r="A257" s="7" t="s">
        <v>393</v>
      </c>
      <c r="B257" s="8" t="s">
        <v>114</v>
      </c>
      <c r="C257" s="8" t="s">
        <v>107</v>
      </c>
      <c r="D257" s="8" t="s">
        <v>392</v>
      </c>
      <c r="E257" s="8"/>
      <c r="F257" s="20">
        <f>F258</f>
        <v>27667</v>
      </c>
      <c r="G257" s="20">
        <f>G258</f>
        <v>27667</v>
      </c>
      <c r="H257" s="20">
        <f>H258</f>
        <v>27289</v>
      </c>
      <c r="I257" s="20">
        <f>I258</f>
        <v>27289</v>
      </c>
      <c r="J257" s="20"/>
    </row>
    <row r="258" spans="1:10" ht="14.25">
      <c r="A258" s="7" t="s">
        <v>310</v>
      </c>
      <c r="B258" s="8" t="s">
        <v>114</v>
      </c>
      <c r="C258" s="8" t="s">
        <v>107</v>
      </c>
      <c r="D258" s="8" t="s">
        <v>392</v>
      </c>
      <c r="E258" s="8" t="s">
        <v>309</v>
      </c>
      <c r="F258" s="20">
        <f>'Прилож №8'!G340</f>
        <v>27667</v>
      </c>
      <c r="G258" s="20">
        <f>'Прилож №8'!H340</f>
        <v>27667</v>
      </c>
      <c r="H258" s="20">
        <f>'Прилож №8'!I340</f>
        <v>27289</v>
      </c>
      <c r="I258" s="20">
        <f>'Прилож №8'!J340</f>
        <v>27289</v>
      </c>
      <c r="J258" s="20"/>
    </row>
    <row r="259" spans="1:10" ht="14.25">
      <c r="A259" s="7" t="s">
        <v>74</v>
      </c>
      <c r="B259" s="8" t="s">
        <v>114</v>
      </c>
      <c r="C259" s="8" t="s">
        <v>107</v>
      </c>
      <c r="D259" s="8" t="s">
        <v>58</v>
      </c>
      <c r="E259" s="8"/>
      <c r="F259" s="20">
        <f>F260+F267+F270+F263</f>
        <v>7995</v>
      </c>
      <c r="G259" s="20">
        <f>G260+G267+G270+G263</f>
        <v>7995</v>
      </c>
      <c r="H259" s="20">
        <f>H260+H267+H270+H263</f>
        <v>7709.5</v>
      </c>
      <c r="I259" s="20">
        <f>I260+I267+I270+I263</f>
        <v>7709.5</v>
      </c>
      <c r="J259" s="20"/>
    </row>
    <row r="260" spans="1:10" ht="28.5">
      <c r="A260" s="6" t="s">
        <v>179</v>
      </c>
      <c r="B260" s="8" t="s">
        <v>114</v>
      </c>
      <c r="C260" s="8" t="s">
        <v>107</v>
      </c>
      <c r="D260" s="8" t="s">
        <v>180</v>
      </c>
      <c r="E260" s="8"/>
      <c r="F260" s="20">
        <f>F261+F262</f>
        <v>4765</v>
      </c>
      <c r="G260" s="20">
        <f>G261+G262</f>
        <v>4765</v>
      </c>
      <c r="H260" s="20">
        <f>H261+H262</f>
        <v>4479.5</v>
      </c>
      <c r="I260" s="20">
        <f>I261+I262</f>
        <v>4479.5</v>
      </c>
      <c r="J260" s="20"/>
    </row>
    <row r="261" spans="1:10" ht="14.25">
      <c r="A261" s="7" t="s">
        <v>306</v>
      </c>
      <c r="B261" s="8" t="s">
        <v>114</v>
      </c>
      <c r="C261" s="8" t="s">
        <v>107</v>
      </c>
      <c r="D261" s="8" t="s">
        <v>180</v>
      </c>
      <c r="E261" s="8" t="s">
        <v>303</v>
      </c>
      <c r="F261" s="20">
        <f>'Прилож №8'!G343</f>
        <v>832.2</v>
      </c>
      <c r="G261" s="20">
        <f>'Прилож №8'!H343</f>
        <v>832.2</v>
      </c>
      <c r="H261" s="20">
        <f>'Прилож №8'!I343</f>
        <v>779</v>
      </c>
      <c r="I261" s="20">
        <f>'Прилож №8'!J343</f>
        <v>779</v>
      </c>
      <c r="J261" s="20"/>
    </row>
    <row r="262" spans="1:10" ht="14.25">
      <c r="A262" s="7" t="s">
        <v>307</v>
      </c>
      <c r="B262" s="8" t="s">
        <v>114</v>
      </c>
      <c r="C262" s="8" t="s">
        <v>107</v>
      </c>
      <c r="D262" s="8" t="s">
        <v>180</v>
      </c>
      <c r="E262" s="8" t="s">
        <v>304</v>
      </c>
      <c r="F262" s="20">
        <f>'Прилож №8'!G344</f>
        <v>3932.8</v>
      </c>
      <c r="G262" s="20">
        <f>'Прилож №8'!H344</f>
        <v>3932.8</v>
      </c>
      <c r="H262" s="20">
        <f>'Прилож №8'!I344</f>
        <v>3700.5</v>
      </c>
      <c r="I262" s="20">
        <f>'Прилож №8'!J344</f>
        <v>3700.5</v>
      </c>
      <c r="J262" s="20"/>
    </row>
    <row r="263" spans="1:10" ht="71.25">
      <c r="A263" s="6" t="s">
        <v>503</v>
      </c>
      <c r="B263" s="8" t="s">
        <v>114</v>
      </c>
      <c r="C263" s="8" t="s">
        <v>107</v>
      </c>
      <c r="D263" s="8" t="s">
        <v>485</v>
      </c>
      <c r="E263" s="8"/>
      <c r="F263" s="20">
        <f>F264</f>
        <v>1230</v>
      </c>
      <c r="G263" s="20">
        <f>G264</f>
        <v>1230</v>
      </c>
      <c r="H263" s="20">
        <f>H264</f>
        <v>1230</v>
      </c>
      <c r="I263" s="20">
        <f>I264</f>
        <v>1230</v>
      </c>
      <c r="J263" s="20"/>
    </row>
    <row r="264" spans="1:10" ht="28.5">
      <c r="A264" s="6" t="s">
        <v>487</v>
      </c>
      <c r="B264" s="8" t="s">
        <v>114</v>
      </c>
      <c r="C264" s="8" t="s">
        <v>107</v>
      </c>
      <c r="D264" s="8" t="s">
        <v>486</v>
      </c>
      <c r="E264" s="8"/>
      <c r="F264" s="20">
        <f>F265+F266</f>
        <v>1230</v>
      </c>
      <c r="G264" s="20">
        <f>G265+G266</f>
        <v>1230</v>
      </c>
      <c r="H264" s="20">
        <f>H265+H266</f>
        <v>1230</v>
      </c>
      <c r="I264" s="20">
        <f>I265+I266</f>
        <v>1230</v>
      </c>
      <c r="J264" s="20"/>
    </row>
    <row r="265" spans="1:10" ht="14.25">
      <c r="A265" s="7" t="s">
        <v>306</v>
      </c>
      <c r="B265" s="8" t="s">
        <v>114</v>
      </c>
      <c r="C265" s="8" t="s">
        <v>107</v>
      </c>
      <c r="D265" s="8" t="s">
        <v>486</v>
      </c>
      <c r="E265" s="8" t="s">
        <v>303</v>
      </c>
      <c r="F265" s="20">
        <f>'Прилож №8'!G347</f>
        <v>140</v>
      </c>
      <c r="G265" s="20">
        <f>'Прилож №8'!H347</f>
        <v>140</v>
      </c>
      <c r="H265" s="20">
        <f>'Прилож №8'!I347</f>
        <v>140</v>
      </c>
      <c r="I265" s="20">
        <f>'Прилож №8'!J347</f>
        <v>140</v>
      </c>
      <c r="J265" s="20"/>
    </row>
    <row r="266" spans="1:10" ht="14.25">
      <c r="A266" s="7" t="s">
        <v>307</v>
      </c>
      <c r="B266" s="8" t="s">
        <v>114</v>
      </c>
      <c r="C266" s="8" t="s">
        <v>107</v>
      </c>
      <c r="D266" s="8" t="s">
        <v>486</v>
      </c>
      <c r="E266" s="8" t="s">
        <v>304</v>
      </c>
      <c r="F266" s="20">
        <f>'Прилож №8'!G348+'Прилож №8'!G412</f>
        <v>1090</v>
      </c>
      <c r="G266" s="20">
        <f>'Прилож №8'!H348+'Прилож №8'!H412</f>
        <v>1090</v>
      </c>
      <c r="H266" s="20">
        <f>'Прилож №8'!I348+'Прилож №8'!I412</f>
        <v>1090</v>
      </c>
      <c r="I266" s="20">
        <f>'Прилож №8'!J348+'Прилож №8'!J412</f>
        <v>1090</v>
      </c>
      <c r="J266" s="20"/>
    </row>
    <row r="267" spans="1:10" ht="32.25" customHeight="1">
      <c r="A267" s="6" t="s">
        <v>369</v>
      </c>
      <c r="B267" s="8" t="s">
        <v>114</v>
      </c>
      <c r="C267" s="8" t="s">
        <v>107</v>
      </c>
      <c r="D267" s="8" t="s">
        <v>366</v>
      </c>
      <c r="E267" s="8"/>
      <c r="F267" s="20">
        <f aca="true" t="shared" si="21" ref="F267:I268">F268</f>
        <v>1000</v>
      </c>
      <c r="G267" s="20">
        <f t="shared" si="21"/>
        <v>1000</v>
      </c>
      <c r="H267" s="20">
        <f t="shared" si="21"/>
        <v>1000</v>
      </c>
      <c r="I267" s="20">
        <f t="shared" si="21"/>
        <v>1000</v>
      </c>
      <c r="J267" s="20"/>
    </row>
    <row r="268" spans="1:10" ht="71.25">
      <c r="A268" s="6" t="s">
        <v>388</v>
      </c>
      <c r="B268" s="8" t="s">
        <v>114</v>
      </c>
      <c r="C268" s="8" t="s">
        <v>107</v>
      </c>
      <c r="D268" s="8" t="s">
        <v>387</v>
      </c>
      <c r="E268" s="8"/>
      <c r="F268" s="20">
        <f t="shared" si="21"/>
        <v>1000</v>
      </c>
      <c r="G268" s="20">
        <f t="shared" si="21"/>
        <v>1000</v>
      </c>
      <c r="H268" s="20">
        <f t="shared" si="21"/>
        <v>1000</v>
      </c>
      <c r="I268" s="20">
        <f t="shared" si="21"/>
        <v>1000</v>
      </c>
      <c r="J268" s="20"/>
    </row>
    <row r="269" spans="1:10" ht="14.25">
      <c r="A269" s="7" t="s">
        <v>310</v>
      </c>
      <c r="B269" s="8" t="s">
        <v>114</v>
      </c>
      <c r="C269" s="8" t="s">
        <v>107</v>
      </c>
      <c r="D269" s="8" t="s">
        <v>387</v>
      </c>
      <c r="E269" s="9" t="s">
        <v>309</v>
      </c>
      <c r="F269" s="20">
        <f>'Прилож №8'!G352</f>
        <v>1000</v>
      </c>
      <c r="G269" s="20">
        <f>'Прилож №8'!H352</f>
        <v>1000</v>
      </c>
      <c r="H269" s="20">
        <f>'Прилож №8'!I352</f>
        <v>1000</v>
      </c>
      <c r="I269" s="20">
        <f>'Прилож №8'!J352</f>
        <v>1000</v>
      </c>
      <c r="J269" s="20"/>
    </row>
    <row r="270" spans="1:10" ht="57">
      <c r="A270" s="6" t="s">
        <v>390</v>
      </c>
      <c r="B270" s="8" t="s">
        <v>114</v>
      </c>
      <c r="C270" s="8" t="s">
        <v>107</v>
      </c>
      <c r="D270" s="8" t="s">
        <v>389</v>
      </c>
      <c r="E270" s="9"/>
      <c r="F270" s="20">
        <f aca="true" t="shared" si="22" ref="F270:I271">F271</f>
        <v>1000</v>
      </c>
      <c r="G270" s="20">
        <f t="shared" si="22"/>
        <v>1000</v>
      </c>
      <c r="H270" s="20">
        <f t="shared" si="22"/>
        <v>1000</v>
      </c>
      <c r="I270" s="20">
        <f t="shared" si="22"/>
        <v>1000</v>
      </c>
      <c r="J270" s="20"/>
    </row>
    <row r="271" spans="1:10" ht="71.25">
      <c r="A271" s="6" t="s">
        <v>395</v>
      </c>
      <c r="B271" s="8" t="s">
        <v>114</v>
      </c>
      <c r="C271" s="8" t="s">
        <v>107</v>
      </c>
      <c r="D271" s="8" t="s">
        <v>391</v>
      </c>
      <c r="E271" s="9"/>
      <c r="F271" s="20">
        <f t="shared" si="22"/>
        <v>1000</v>
      </c>
      <c r="G271" s="20">
        <f t="shared" si="22"/>
        <v>1000</v>
      </c>
      <c r="H271" s="20">
        <f t="shared" si="22"/>
        <v>1000</v>
      </c>
      <c r="I271" s="20">
        <f t="shared" si="22"/>
        <v>1000</v>
      </c>
      <c r="J271" s="20"/>
    </row>
    <row r="272" spans="1:10" ht="14.25">
      <c r="A272" s="7" t="s">
        <v>310</v>
      </c>
      <c r="B272" s="8" t="s">
        <v>114</v>
      </c>
      <c r="C272" s="8" t="s">
        <v>107</v>
      </c>
      <c r="D272" s="8" t="s">
        <v>391</v>
      </c>
      <c r="E272" s="9" t="s">
        <v>309</v>
      </c>
      <c r="F272" s="20">
        <f>'Прилож №8'!G355</f>
        <v>1000</v>
      </c>
      <c r="G272" s="20">
        <f>'Прилож №8'!H355</f>
        <v>1000</v>
      </c>
      <c r="H272" s="20">
        <f>'Прилож №8'!I355</f>
        <v>1000</v>
      </c>
      <c r="I272" s="20">
        <f>'Прилож №8'!J355</f>
        <v>1000</v>
      </c>
      <c r="J272" s="20"/>
    </row>
    <row r="273" spans="1:10" ht="15">
      <c r="A273" s="10" t="s">
        <v>16</v>
      </c>
      <c r="B273" s="11" t="s">
        <v>114</v>
      </c>
      <c r="C273" s="11" t="s">
        <v>114</v>
      </c>
      <c r="D273" s="11"/>
      <c r="E273" s="11"/>
      <c r="F273" s="19">
        <f>F274+F287+F281</f>
        <v>16993.3</v>
      </c>
      <c r="G273" s="19">
        <f>G274+G287+G281</f>
        <v>8748</v>
      </c>
      <c r="H273" s="19">
        <f>H274+H287+H281</f>
        <v>16520.600000000002</v>
      </c>
      <c r="I273" s="19">
        <f>I274+I287+I281</f>
        <v>8748</v>
      </c>
      <c r="J273" s="37">
        <f>H273/F273*100</f>
        <v>97.21831545373767</v>
      </c>
    </row>
    <row r="274" spans="1:10" ht="14.25">
      <c r="A274" s="7" t="s">
        <v>55</v>
      </c>
      <c r="B274" s="8" t="s">
        <v>114</v>
      </c>
      <c r="C274" s="8" t="s">
        <v>114</v>
      </c>
      <c r="D274" s="8" t="s">
        <v>56</v>
      </c>
      <c r="E274" s="8"/>
      <c r="F274" s="20">
        <f>F279+F277+F275</f>
        <v>5933.8</v>
      </c>
      <c r="G274" s="20">
        <f>G279+G277+G275</f>
        <v>4174</v>
      </c>
      <c r="H274" s="20">
        <f>H279+H277+H275</f>
        <v>5811.3</v>
      </c>
      <c r="I274" s="20">
        <f>I279+I277+I275</f>
        <v>4174</v>
      </c>
      <c r="J274" s="20"/>
    </row>
    <row r="275" spans="1:10" ht="42.75">
      <c r="A275" s="6" t="s">
        <v>417</v>
      </c>
      <c r="B275" s="8" t="s">
        <v>114</v>
      </c>
      <c r="C275" s="8" t="s">
        <v>114</v>
      </c>
      <c r="D275" s="8" t="s">
        <v>385</v>
      </c>
      <c r="E275" s="8"/>
      <c r="F275" s="20">
        <f>F276</f>
        <v>4174</v>
      </c>
      <c r="G275" s="20">
        <f>G276</f>
        <v>4174</v>
      </c>
      <c r="H275" s="20">
        <f>H276</f>
        <v>4174</v>
      </c>
      <c r="I275" s="20">
        <f>I276</f>
        <v>4174</v>
      </c>
      <c r="J275" s="20"/>
    </row>
    <row r="276" spans="1:10" ht="42.75">
      <c r="A276" s="6" t="s">
        <v>418</v>
      </c>
      <c r="B276" s="8" t="s">
        <v>114</v>
      </c>
      <c r="C276" s="8" t="s">
        <v>114</v>
      </c>
      <c r="D276" s="8" t="s">
        <v>385</v>
      </c>
      <c r="E276" s="9" t="s">
        <v>386</v>
      </c>
      <c r="F276" s="20">
        <f>'Прилож №8'!G416</f>
        <v>4174</v>
      </c>
      <c r="G276" s="20">
        <f>'Прилож №8'!H416</f>
        <v>4174</v>
      </c>
      <c r="H276" s="20">
        <f>'Прилож №8'!I416</f>
        <v>4174</v>
      </c>
      <c r="I276" s="20">
        <f>'Прилож №8'!J416</f>
        <v>4174</v>
      </c>
      <c r="J276" s="20"/>
    </row>
    <row r="277" spans="1:10" ht="17.25" customHeight="1">
      <c r="A277" s="6" t="s">
        <v>228</v>
      </c>
      <c r="B277" s="8" t="s">
        <v>114</v>
      </c>
      <c r="C277" s="8" t="s">
        <v>114</v>
      </c>
      <c r="D277" s="8" t="s">
        <v>239</v>
      </c>
      <c r="E277" s="8"/>
      <c r="F277" s="20">
        <f>F278</f>
        <v>15</v>
      </c>
      <c r="G277" s="20">
        <f>G278</f>
        <v>0</v>
      </c>
      <c r="H277" s="20">
        <f>H278</f>
        <v>15</v>
      </c>
      <c r="I277" s="20">
        <f>I278</f>
        <v>0</v>
      </c>
      <c r="J277" s="20"/>
    </row>
    <row r="278" spans="1:10" ht="14.25">
      <c r="A278" s="7" t="s">
        <v>147</v>
      </c>
      <c r="B278" s="8" t="s">
        <v>114</v>
      </c>
      <c r="C278" s="8" t="s">
        <v>114</v>
      </c>
      <c r="D278" s="8" t="s">
        <v>239</v>
      </c>
      <c r="E278" s="8" t="s">
        <v>148</v>
      </c>
      <c r="F278" s="20">
        <f>'Прилож №8'!G418</f>
        <v>15</v>
      </c>
      <c r="G278" s="20">
        <f>'Прилож №8'!H418</f>
        <v>0</v>
      </c>
      <c r="H278" s="20">
        <f>'Прилож №8'!I418</f>
        <v>15</v>
      </c>
      <c r="I278" s="20">
        <f>'Прилож №8'!J418</f>
        <v>0</v>
      </c>
      <c r="J278" s="20"/>
    </row>
    <row r="279" spans="1:10" ht="14.25">
      <c r="A279" s="7" t="s">
        <v>57</v>
      </c>
      <c r="B279" s="8" t="s">
        <v>114</v>
      </c>
      <c r="C279" s="8" t="s">
        <v>114</v>
      </c>
      <c r="D279" s="8" t="s">
        <v>176</v>
      </c>
      <c r="E279" s="8"/>
      <c r="F279" s="20">
        <f>F280</f>
        <v>1744.8</v>
      </c>
      <c r="G279" s="20">
        <f>G280</f>
        <v>0</v>
      </c>
      <c r="H279" s="20">
        <f>H280</f>
        <v>1622.3</v>
      </c>
      <c r="I279" s="20">
        <f>I280</f>
        <v>0</v>
      </c>
      <c r="J279" s="20"/>
    </row>
    <row r="280" spans="1:10" ht="14.25">
      <c r="A280" s="7" t="s">
        <v>147</v>
      </c>
      <c r="B280" s="8" t="s">
        <v>114</v>
      </c>
      <c r="C280" s="8" t="s">
        <v>114</v>
      </c>
      <c r="D280" s="8" t="s">
        <v>176</v>
      </c>
      <c r="E280" s="8" t="s">
        <v>148</v>
      </c>
      <c r="F280" s="20">
        <f>'Прилож №8'!G420</f>
        <v>1744.8</v>
      </c>
      <c r="G280" s="20">
        <f>'Прилож №8'!H420</f>
        <v>0</v>
      </c>
      <c r="H280" s="20">
        <f>'Прилож №8'!I420</f>
        <v>1622.3</v>
      </c>
      <c r="I280" s="20">
        <f>'Прилож №8'!J420</f>
        <v>0</v>
      </c>
      <c r="J280" s="20"/>
    </row>
    <row r="281" spans="1:10" ht="14.25">
      <c r="A281" s="7" t="s">
        <v>219</v>
      </c>
      <c r="B281" s="8" t="s">
        <v>114</v>
      </c>
      <c r="C281" s="8" t="s">
        <v>114</v>
      </c>
      <c r="D281" s="8" t="s">
        <v>218</v>
      </c>
      <c r="E281" s="8"/>
      <c r="F281" s="20">
        <f aca="true" t="shared" si="23" ref="F281:I282">F282</f>
        <v>4574</v>
      </c>
      <c r="G281" s="20">
        <f t="shared" si="23"/>
        <v>4574</v>
      </c>
      <c r="H281" s="20">
        <f t="shared" si="23"/>
        <v>4574</v>
      </c>
      <c r="I281" s="20">
        <f t="shared" si="23"/>
        <v>4574</v>
      </c>
      <c r="J281" s="20"/>
    </row>
    <row r="282" spans="1:10" ht="42.75">
      <c r="A282" s="6" t="s">
        <v>403</v>
      </c>
      <c r="B282" s="8" t="s">
        <v>114</v>
      </c>
      <c r="C282" s="8" t="s">
        <v>114</v>
      </c>
      <c r="D282" s="8" t="s">
        <v>402</v>
      </c>
      <c r="E282" s="8"/>
      <c r="F282" s="20">
        <f t="shared" si="23"/>
        <v>4574</v>
      </c>
      <c r="G282" s="20">
        <f t="shared" si="23"/>
        <v>4574</v>
      </c>
      <c r="H282" s="20">
        <f t="shared" si="23"/>
        <v>4574</v>
      </c>
      <c r="I282" s="20">
        <f t="shared" si="23"/>
        <v>4574</v>
      </c>
      <c r="J282" s="20"/>
    </row>
    <row r="283" spans="1:10" ht="20.25" customHeight="1">
      <c r="A283" s="6" t="s">
        <v>363</v>
      </c>
      <c r="B283" s="8" t="s">
        <v>114</v>
      </c>
      <c r="C283" s="8" t="s">
        <v>114</v>
      </c>
      <c r="D283" s="8" t="s">
        <v>412</v>
      </c>
      <c r="E283" s="8"/>
      <c r="F283" s="20">
        <f>F284+F285+F286</f>
        <v>4574</v>
      </c>
      <c r="G283" s="20">
        <f>G284+G285+G286</f>
        <v>4574</v>
      </c>
      <c r="H283" s="20">
        <f>H284+H285+H286</f>
        <v>4574</v>
      </c>
      <c r="I283" s="20">
        <f>I284+I285+I286</f>
        <v>4574</v>
      </c>
      <c r="J283" s="20"/>
    </row>
    <row r="284" spans="1:10" ht="28.5">
      <c r="A284" s="6" t="s">
        <v>405</v>
      </c>
      <c r="B284" s="8" t="s">
        <v>114</v>
      </c>
      <c r="C284" s="8" t="s">
        <v>114</v>
      </c>
      <c r="D284" s="8" t="s">
        <v>412</v>
      </c>
      <c r="E284" s="8" t="s">
        <v>404</v>
      </c>
      <c r="F284" s="20">
        <f>'Прилож №8'!G361</f>
        <v>1126.1999999999998</v>
      </c>
      <c r="G284" s="20">
        <f>'Прилож №8'!H361</f>
        <v>1126.1999999999998</v>
      </c>
      <c r="H284" s="20">
        <f>'Прилож №8'!I361</f>
        <v>1126.2</v>
      </c>
      <c r="I284" s="20">
        <f>'Прилож №8'!J361</f>
        <v>1126.2</v>
      </c>
      <c r="J284" s="20"/>
    </row>
    <row r="285" spans="1:10" ht="14.25">
      <c r="A285" s="7" t="s">
        <v>306</v>
      </c>
      <c r="B285" s="8" t="s">
        <v>114</v>
      </c>
      <c r="C285" s="8" t="s">
        <v>114</v>
      </c>
      <c r="D285" s="8" t="s">
        <v>412</v>
      </c>
      <c r="E285" s="8" t="s">
        <v>303</v>
      </c>
      <c r="F285" s="20">
        <f>'Прилож №8'!G362</f>
        <v>588.8</v>
      </c>
      <c r="G285" s="20">
        <f>'Прилож №8'!H362</f>
        <v>588.8</v>
      </c>
      <c r="H285" s="20">
        <f>'Прилож №8'!I362</f>
        <v>588.8</v>
      </c>
      <c r="I285" s="20">
        <f>'Прилож №8'!J362</f>
        <v>588.8</v>
      </c>
      <c r="J285" s="20"/>
    </row>
    <row r="286" spans="1:10" ht="14.25">
      <c r="A286" s="7" t="s">
        <v>307</v>
      </c>
      <c r="B286" s="8" t="s">
        <v>114</v>
      </c>
      <c r="C286" s="8" t="s">
        <v>114</v>
      </c>
      <c r="D286" s="8" t="s">
        <v>412</v>
      </c>
      <c r="E286" s="8" t="s">
        <v>304</v>
      </c>
      <c r="F286" s="20">
        <f>'Прилож №8'!G363</f>
        <v>2859</v>
      </c>
      <c r="G286" s="20">
        <f>'Прилож №8'!H363</f>
        <v>2859</v>
      </c>
      <c r="H286" s="20">
        <f>'Прилож №8'!I363</f>
        <v>2859</v>
      </c>
      <c r="I286" s="20">
        <f>'Прилож №8'!J363</f>
        <v>2859</v>
      </c>
      <c r="J286" s="20"/>
    </row>
    <row r="287" spans="1:10" ht="14.25">
      <c r="A287" s="7" t="s">
        <v>78</v>
      </c>
      <c r="B287" s="8" t="s">
        <v>114</v>
      </c>
      <c r="C287" s="8" t="s">
        <v>114</v>
      </c>
      <c r="D287" s="8" t="s">
        <v>79</v>
      </c>
      <c r="E287" s="8"/>
      <c r="F287" s="20">
        <f>F288+F291</f>
        <v>6485.5</v>
      </c>
      <c r="G287" s="20">
        <f>G288+G291</f>
        <v>0</v>
      </c>
      <c r="H287" s="20">
        <f>H288+H291</f>
        <v>6135.300000000001</v>
      </c>
      <c r="I287" s="20">
        <f>I288+I291</f>
        <v>0</v>
      </c>
      <c r="J287" s="20"/>
    </row>
    <row r="288" spans="1:10" ht="28.5">
      <c r="A288" s="42" t="s">
        <v>208</v>
      </c>
      <c r="B288" s="8" t="s">
        <v>114</v>
      </c>
      <c r="C288" s="8" t="s">
        <v>114</v>
      </c>
      <c r="D288" s="8" t="s">
        <v>255</v>
      </c>
      <c r="E288" s="8"/>
      <c r="F288" s="20">
        <f>F289+F290</f>
        <v>1704.4999999999998</v>
      </c>
      <c r="G288" s="20">
        <f>G289+G290</f>
        <v>0</v>
      </c>
      <c r="H288" s="20">
        <f>H289+H290</f>
        <v>1422.1</v>
      </c>
      <c r="I288" s="20">
        <f>I289+I290</f>
        <v>0</v>
      </c>
      <c r="J288" s="20"/>
    </row>
    <row r="289" spans="1:10" ht="14.25">
      <c r="A289" s="7" t="s">
        <v>147</v>
      </c>
      <c r="B289" s="8" t="s">
        <v>114</v>
      </c>
      <c r="C289" s="8" t="s">
        <v>114</v>
      </c>
      <c r="D289" s="8" t="s">
        <v>255</v>
      </c>
      <c r="E289" s="8" t="s">
        <v>148</v>
      </c>
      <c r="F289" s="20">
        <f>'Прилож №8'!G423</f>
        <v>1240.6</v>
      </c>
      <c r="G289" s="20">
        <f>'Прилож №8'!H423</f>
        <v>0</v>
      </c>
      <c r="H289" s="20">
        <f>'Прилож №8'!I423</f>
        <v>958.5</v>
      </c>
      <c r="I289" s="20">
        <f>'Прилож №8'!J423</f>
        <v>0</v>
      </c>
      <c r="J289" s="20"/>
    </row>
    <row r="290" spans="1:10" ht="14.25">
      <c r="A290" s="7" t="s">
        <v>86</v>
      </c>
      <c r="B290" s="8" t="s">
        <v>114</v>
      </c>
      <c r="C290" s="8" t="s">
        <v>114</v>
      </c>
      <c r="D290" s="8" t="s">
        <v>255</v>
      </c>
      <c r="E290" s="8" t="s">
        <v>150</v>
      </c>
      <c r="F290" s="20">
        <f>'Прилож №8'!G176+'Прилож №8'!G424</f>
        <v>463.89999999999986</v>
      </c>
      <c r="G290" s="20">
        <f>'Прилож №8'!H176+'Прилож №8'!H424</f>
        <v>0</v>
      </c>
      <c r="H290" s="20">
        <f>'Прилож №8'!I176+'Прилож №8'!I424</f>
        <v>463.6</v>
      </c>
      <c r="I290" s="20">
        <f>'Прилож №8'!J176+'Прилож №8'!J424</f>
        <v>0</v>
      </c>
      <c r="J290" s="20"/>
    </row>
    <row r="291" spans="1:10" ht="28.5">
      <c r="A291" s="6" t="s">
        <v>260</v>
      </c>
      <c r="B291" s="8" t="s">
        <v>362</v>
      </c>
      <c r="C291" s="8" t="s">
        <v>114</v>
      </c>
      <c r="D291" s="8" t="s">
        <v>256</v>
      </c>
      <c r="E291" s="8"/>
      <c r="F291" s="20">
        <f>F292+F293</f>
        <v>4781</v>
      </c>
      <c r="G291" s="20">
        <f>G292+G293</f>
        <v>0</v>
      </c>
      <c r="H291" s="20">
        <f>H292+H293</f>
        <v>4713.200000000001</v>
      </c>
      <c r="I291" s="20">
        <f>I292+I293</f>
        <v>0</v>
      </c>
      <c r="J291" s="20"/>
    </row>
    <row r="292" spans="1:10" ht="14.25">
      <c r="A292" s="7" t="s">
        <v>147</v>
      </c>
      <c r="B292" s="8" t="s">
        <v>362</v>
      </c>
      <c r="C292" s="8" t="s">
        <v>114</v>
      </c>
      <c r="D292" s="8" t="s">
        <v>256</v>
      </c>
      <c r="E292" s="8" t="s">
        <v>148</v>
      </c>
      <c r="F292" s="20">
        <f>'Прилож №8'!G366+'Прилож №8'!G426</f>
        <v>3572.4</v>
      </c>
      <c r="G292" s="20">
        <f>'Прилож №8'!H366+'Прилож №8'!H426</f>
        <v>0</v>
      </c>
      <c r="H292" s="20">
        <f>'Прилож №8'!I366+'Прилож №8'!I426</f>
        <v>3572.3</v>
      </c>
      <c r="I292" s="20">
        <f>'Прилож №8'!J366+'Прилож №8'!J426</f>
        <v>0</v>
      </c>
      <c r="J292" s="20"/>
    </row>
    <row r="293" spans="1:10" ht="14.25">
      <c r="A293" s="7" t="s">
        <v>86</v>
      </c>
      <c r="B293" s="8" t="s">
        <v>114</v>
      </c>
      <c r="C293" s="8" t="s">
        <v>114</v>
      </c>
      <c r="D293" s="8" t="s">
        <v>256</v>
      </c>
      <c r="E293" s="8" t="s">
        <v>150</v>
      </c>
      <c r="F293" s="20">
        <f>'Прилож №8'!G367+'Прилож №8'!G427</f>
        <v>1208.6</v>
      </c>
      <c r="G293" s="20">
        <f>'Прилож №8'!H367+'Прилож №8'!H427</f>
        <v>0</v>
      </c>
      <c r="H293" s="20">
        <f>'Прилож №8'!I367+'Прилож №8'!I427</f>
        <v>1140.9</v>
      </c>
      <c r="I293" s="20">
        <f>'Прилож №8'!J367+'Прилож №8'!J427</f>
        <v>0</v>
      </c>
      <c r="J293" s="20"/>
    </row>
    <row r="294" spans="1:10" ht="15">
      <c r="A294" s="10" t="s">
        <v>19</v>
      </c>
      <c r="B294" s="11" t="s">
        <v>114</v>
      </c>
      <c r="C294" s="11" t="s">
        <v>112</v>
      </c>
      <c r="D294" s="11" t="s">
        <v>30</v>
      </c>
      <c r="E294" s="11" t="s">
        <v>32</v>
      </c>
      <c r="F294" s="19">
        <f>F295+F303+F310+F301+F298</f>
        <v>115068.3</v>
      </c>
      <c r="G294" s="19">
        <f>G295+G303+G310+G301+G298</f>
        <v>10615.5</v>
      </c>
      <c r="H294" s="19">
        <f>H295+H303+H310+H301+H298</f>
        <v>103077.79999999999</v>
      </c>
      <c r="I294" s="19">
        <f>I295+I303+I310+I301+I298</f>
        <v>10615.5</v>
      </c>
      <c r="J294" s="37">
        <f>H294/F294*100</f>
        <v>89.57966703253632</v>
      </c>
    </row>
    <row r="295" spans="1:10" ht="14.25">
      <c r="A295" s="6" t="s">
        <v>87</v>
      </c>
      <c r="B295" s="8" t="s">
        <v>114</v>
      </c>
      <c r="C295" s="8" t="s">
        <v>112</v>
      </c>
      <c r="D295" s="8" t="s">
        <v>149</v>
      </c>
      <c r="E295" s="8"/>
      <c r="F295" s="20">
        <f aca="true" t="shared" si="24" ref="F295:I296">F296</f>
        <v>14313.4</v>
      </c>
      <c r="G295" s="20">
        <f t="shared" si="24"/>
        <v>0</v>
      </c>
      <c r="H295" s="20">
        <f t="shared" si="24"/>
        <v>13404.8</v>
      </c>
      <c r="I295" s="20">
        <f t="shared" si="24"/>
        <v>0</v>
      </c>
      <c r="J295" s="20"/>
    </row>
    <row r="296" spans="1:10" ht="14.25">
      <c r="A296" s="7" t="s">
        <v>33</v>
      </c>
      <c r="B296" s="8" t="s">
        <v>114</v>
      </c>
      <c r="C296" s="8" t="s">
        <v>112</v>
      </c>
      <c r="D296" s="8" t="s">
        <v>151</v>
      </c>
      <c r="E296" s="8"/>
      <c r="F296" s="20">
        <f t="shared" si="24"/>
        <v>14313.4</v>
      </c>
      <c r="G296" s="20">
        <f t="shared" si="24"/>
        <v>0</v>
      </c>
      <c r="H296" s="20">
        <f t="shared" si="24"/>
        <v>13404.8</v>
      </c>
      <c r="I296" s="20">
        <f t="shared" si="24"/>
        <v>0</v>
      </c>
      <c r="J296" s="20"/>
    </row>
    <row r="297" spans="1:10" ht="14.25">
      <c r="A297" s="7" t="s">
        <v>86</v>
      </c>
      <c r="B297" s="8" t="s">
        <v>114</v>
      </c>
      <c r="C297" s="8" t="s">
        <v>112</v>
      </c>
      <c r="D297" s="8" t="s">
        <v>151</v>
      </c>
      <c r="E297" s="8" t="s">
        <v>150</v>
      </c>
      <c r="F297" s="20">
        <f>'Прилож №8'!G371</f>
        <v>14313.4</v>
      </c>
      <c r="G297" s="20">
        <f>'Прилож №8'!H371</f>
        <v>0</v>
      </c>
      <c r="H297" s="20">
        <f>'Прилож №8'!I371</f>
        <v>13404.8</v>
      </c>
      <c r="I297" s="20">
        <f>'Прилож №8'!J371</f>
        <v>0</v>
      </c>
      <c r="J297" s="20"/>
    </row>
    <row r="298" spans="1:10" ht="28.5">
      <c r="A298" s="6" t="s">
        <v>182</v>
      </c>
      <c r="B298" s="8" t="s">
        <v>114</v>
      </c>
      <c r="C298" s="8" t="s">
        <v>112</v>
      </c>
      <c r="D298" s="8" t="s">
        <v>15</v>
      </c>
      <c r="E298" s="8"/>
      <c r="F298" s="20">
        <f aca="true" t="shared" si="25" ref="F298:I299">F299</f>
        <v>537</v>
      </c>
      <c r="G298" s="20">
        <f t="shared" si="25"/>
        <v>537</v>
      </c>
      <c r="H298" s="20">
        <f t="shared" si="25"/>
        <v>537</v>
      </c>
      <c r="I298" s="20">
        <f t="shared" si="25"/>
        <v>537</v>
      </c>
      <c r="J298" s="20"/>
    </row>
    <row r="299" spans="1:10" ht="57">
      <c r="A299" s="6" t="s">
        <v>499</v>
      </c>
      <c r="B299" s="8" t="s">
        <v>114</v>
      </c>
      <c r="C299" s="8" t="s">
        <v>112</v>
      </c>
      <c r="D299" s="8" t="s">
        <v>311</v>
      </c>
      <c r="E299" s="8"/>
      <c r="F299" s="20">
        <f t="shared" si="25"/>
        <v>537</v>
      </c>
      <c r="G299" s="20">
        <f t="shared" si="25"/>
        <v>537</v>
      </c>
      <c r="H299" s="20">
        <f t="shared" si="25"/>
        <v>537</v>
      </c>
      <c r="I299" s="20">
        <f t="shared" si="25"/>
        <v>537</v>
      </c>
      <c r="J299" s="20"/>
    </row>
    <row r="300" spans="1:10" ht="28.5">
      <c r="A300" s="6" t="s">
        <v>313</v>
      </c>
      <c r="B300" s="8" t="s">
        <v>114</v>
      </c>
      <c r="C300" s="8" t="s">
        <v>112</v>
      </c>
      <c r="D300" s="8" t="s">
        <v>311</v>
      </c>
      <c r="E300" s="8" t="s">
        <v>312</v>
      </c>
      <c r="F300" s="20">
        <f>'Прилож №8'!G374</f>
        <v>537</v>
      </c>
      <c r="G300" s="20">
        <f>'Прилож №8'!H374</f>
        <v>537</v>
      </c>
      <c r="H300" s="20">
        <f>'Прилож №8'!I374</f>
        <v>537</v>
      </c>
      <c r="I300" s="20">
        <f>'Прилож №8'!J374</f>
        <v>537</v>
      </c>
      <c r="J300" s="20"/>
    </row>
    <row r="301" spans="1:10" ht="109.5" customHeight="1">
      <c r="A301" s="6" t="s">
        <v>358</v>
      </c>
      <c r="B301" s="8" t="s">
        <v>114</v>
      </c>
      <c r="C301" s="8" t="s">
        <v>112</v>
      </c>
      <c r="D301" s="8" t="s">
        <v>316</v>
      </c>
      <c r="E301" s="8"/>
      <c r="F301" s="20">
        <f>F302</f>
        <v>9208</v>
      </c>
      <c r="G301" s="20">
        <f>G302</f>
        <v>9208</v>
      </c>
      <c r="H301" s="20">
        <f>H302</f>
        <v>9208</v>
      </c>
      <c r="I301" s="20">
        <f>I302</f>
        <v>9208</v>
      </c>
      <c r="J301" s="20"/>
    </row>
    <row r="302" spans="1:10" ht="32.25" customHeight="1">
      <c r="A302" s="6" t="s">
        <v>313</v>
      </c>
      <c r="B302" s="8" t="s">
        <v>114</v>
      </c>
      <c r="C302" s="8" t="s">
        <v>112</v>
      </c>
      <c r="D302" s="8" t="s">
        <v>316</v>
      </c>
      <c r="E302" s="8" t="s">
        <v>312</v>
      </c>
      <c r="F302" s="20">
        <f>'Прилож №8'!G376</f>
        <v>9208</v>
      </c>
      <c r="G302" s="20">
        <f>'Прилож №8'!H376</f>
        <v>9208</v>
      </c>
      <c r="H302" s="20">
        <f>'Прилож №8'!I376</f>
        <v>9208</v>
      </c>
      <c r="I302" s="20">
        <f>'Прилож №8'!J376</f>
        <v>9208</v>
      </c>
      <c r="J302" s="20"/>
    </row>
    <row r="303" spans="1:10" ht="57">
      <c r="A303" s="6" t="s">
        <v>68</v>
      </c>
      <c r="B303" s="8" t="s">
        <v>114</v>
      </c>
      <c r="C303" s="8" t="s">
        <v>112</v>
      </c>
      <c r="D303" s="8" t="s">
        <v>25</v>
      </c>
      <c r="E303" s="8"/>
      <c r="F303" s="20">
        <f>F306+F309+F304</f>
        <v>29247.300000000003</v>
      </c>
      <c r="G303" s="20">
        <f>G306+G309+G304</f>
        <v>870.5</v>
      </c>
      <c r="H303" s="20">
        <f>H306+H309+H304</f>
        <v>29247.3</v>
      </c>
      <c r="I303" s="20">
        <f>I306+I309+I304</f>
        <v>870.5</v>
      </c>
      <c r="J303" s="20"/>
    </row>
    <row r="304" spans="1:10" ht="28.5">
      <c r="A304" s="6" t="s">
        <v>352</v>
      </c>
      <c r="B304" s="8" t="s">
        <v>114</v>
      </c>
      <c r="C304" s="8" t="s">
        <v>112</v>
      </c>
      <c r="D304" s="8" t="s">
        <v>351</v>
      </c>
      <c r="E304" s="8"/>
      <c r="F304" s="20">
        <f>F305</f>
        <v>870.9</v>
      </c>
      <c r="G304" s="20">
        <f>G305</f>
        <v>870.5</v>
      </c>
      <c r="H304" s="20">
        <f>H305</f>
        <v>870.9</v>
      </c>
      <c r="I304" s="20">
        <f>I305</f>
        <v>870.5</v>
      </c>
      <c r="J304" s="20"/>
    </row>
    <row r="305" spans="1:10" ht="14.25">
      <c r="A305" s="7" t="s">
        <v>306</v>
      </c>
      <c r="B305" s="8" t="s">
        <v>114</v>
      </c>
      <c r="C305" s="8" t="s">
        <v>112</v>
      </c>
      <c r="D305" s="8" t="s">
        <v>351</v>
      </c>
      <c r="E305" s="8" t="s">
        <v>303</v>
      </c>
      <c r="F305" s="20">
        <f>'Прилож №8'!G379</f>
        <v>870.9</v>
      </c>
      <c r="G305" s="20">
        <f>'Прилож №8'!H379</f>
        <v>870.5</v>
      </c>
      <c r="H305" s="20">
        <f>'Прилож №8'!I379</f>
        <v>870.9</v>
      </c>
      <c r="I305" s="20">
        <f>'Прилож №8'!J379</f>
        <v>870.5</v>
      </c>
      <c r="J305" s="20"/>
    </row>
    <row r="306" spans="1:10" ht="18" customHeight="1">
      <c r="A306" s="6" t="s">
        <v>228</v>
      </c>
      <c r="B306" s="8" t="s">
        <v>114</v>
      </c>
      <c r="C306" s="8" t="s">
        <v>112</v>
      </c>
      <c r="D306" s="8" t="s">
        <v>233</v>
      </c>
      <c r="E306" s="8"/>
      <c r="F306" s="20">
        <f>F307</f>
        <v>210.3</v>
      </c>
      <c r="G306" s="20">
        <f>G307</f>
        <v>0</v>
      </c>
      <c r="H306" s="20">
        <f>H307</f>
        <v>210.3</v>
      </c>
      <c r="I306" s="20">
        <f>I307</f>
        <v>0</v>
      </c>
      <c r="J306" s="20"/>
    </row>
    <row r="307" spans="1:10" ht="14.25">
      <c r="A307" s="7" t="s">
        <v>147</v>
      </c>
      <c r="B307" s="8" t="s">
        <v>114</v>
      </c>
      <c r="C307" s="8" t="s">
        <v>112</v>
      </c>
      <c r="D307" s="8" t="s">
        <v>233</v>
      </c>
      <c r="E307" s="8" t="s">
        <v>148</v>
      </c>
      <c r="F307" s="20">
        <f>'Прилож №8'!G381</f>
        <v>210.3</v>
      </c>
      <c r="G307" s="20">
        <f>'Прилож №8'!H381</f>
        <v>0</v>
      </c>
      <c r="H307" s="20">
        <f>'Прилож №8'!I381</f>
        <v>210.3</v>
      </c>
      <c r="I307" s="20">
        <f>'Прилож №8'!J381</f>
        <v>0</v>
      </c>
      <c r="J307" s="20"/>
    </row>
    <row r="308" spans="1:10" ht="14.25">
      <c r="A308" s="7" t="s">
        <v>14</v>
      </c>
      <c r="B308" s="8" t="s">
        <v>114</v>
      </c>
      <c r="C308" s="8" t="s">
        <v>112</v>
      </c>
      <c r="D308" s="8" t="s">
        <v>127</v>
      </c>
      <c r="E308" s="8"/>
      <c r="F308" s="20">
        <f>F309</f>
        <v>28166.100000000002</v>
      </c>
      <c r="G308" s="20">
        <f>G309</f>
        <v>0</v>
      </c>
      <c r="H308" s="20">
        <f>H309</f>
        <v>28166.1</v>
      </c>
      <c r="I308" s="20">
        <f>I309</f>
        <v>0</v>
      </c>
      <c r="J308" s="20"/>
    </row>
    <row r="309" spans="1:10" ht="14.25">
      <c r="A309" s="7" t="s">
        <v>147</v>
      </c>
      <c r="B309" s="8" t="s">
        <v>114</v>
      </c>
      <c r="C309" s="8" t="s">
        <v>112</v>
      </c>
      <c r="D309" s="8" t="s">
        <v>127</v>
      </c>
      <c r="E309" s="8" t="s">
        <v>148</v>
      </c>
      <c r="F309" s="20">
        <f>'Прилож №8'!G383</f>
        <v>28166.100000000002</v>
      </c>
      <c r="G309" s="20">
        <f>'Прилож №8'!H383</f>
        <v>0</v>
      </c>
      <c r="H309" s="20">
        <f>'Прилож №8'!I383</f>
        <v>28166.1</v>
      </c>
      <c r="I309" s="20">
        <f>'Прилож №8'!J383</f>
        <v>0</v>
      </c>
      <c r="J309" s="20"/>
    </row>
    <row r="310" spans="1:10" ht="14.25">
      <c r="A310" s="7" t="s">
        <v>78</v>
      </c>
      <c r="B310" s="8" t="s">
        <v>114</v>
      </c>
      <c r="C310" s="8" t="s">
        <v>112</v>
      </c>
      <c r="D310" s="8" t="s">
        <v>79</v>
      </c>
      <c r="E310" s="8"/>
      <c r="F310" s="20">
        <f>F311+F313</f>
        <v>61762.6</v>
      </c>
      <c r="G310" s="20">
        <f>G311+G313</f>
        <v>0</v>
      </c>
      <c r="H310" s="20">
        <f>H311+H313</f>
        <v>50680.7</v>
      </c>
      <c r="I310" s="20">
        <f>I311+I313</f>
        <v>0</v>
      </c>
      <c r="J310" s="20"/>
    </row>
    <row r="311" spans="1:10" ht="42.75">
      <c r="A311" s="6" t="s">
        <v>222</v>
      </c>
      <c r="B311" s="8" t="s">
        <v>114</v>
      </c>
      <c r="C311" s="8" t="s">
        <v>112</v>
      </c>
      <c r="D311" s="8" t="s">
        <v>128</v>
      </c>
      <c r="E311" s="8"/>
      <c r="F311" s="20">
        <f>F312</f>
        <v>1266.1</v>
      </c>
      <c r="G311" s="20">
        <f>G312</f>
        <v>0</v>
      </c>
      <c r="H311" s="20">
        <f>H312</f>
        <v>1232</v>
      </c>
      <c r="I311" s="20">
        <f>I312</f>
        <v>0</v>
      </c>
      <c r="J311" s="20"/>
    </row>
    <row r="312" spans="1:10" ht="14.25">
      <c r="A312" s="7" t="s">
        <v>86</v>
      </c>
      <c r="B312" s="8" t="s">
        <v>114</v>
      </c>
      <c r="C312" s="8" t="s">
        <v>112</v>
      </c>
      <c r="D312" s="8" t="s">
        <v>128</v>
      </c>
      <c r="E312" s="8" t="s">
        <v>150</v>
      </c>
      <c r="F312" s="20">
        <f>'Прилож №8'!G389</f>
        <v>1266.1</v>
      </c>
      <c r="G312" s="20">
        <f>'Прилож №8'!H389</f>
        <v>0</v>
      </c>
      <c r="H312" s="20">
        <f>'Прилож №8'!I389</f>
        <v>1232</v>
      </c>
      <c r="I312" s="20">
        <f>'Прилож №8'!J389</f>
        <v>0</v>
      </c>
      <c r="J312" s="20"/>
    </row>
    <row r="313" spans="1:10" ht="28.5">
      <c r="A313" s="6" t="s">
        <v>260</v>
      </c>
      <c r="B313" s="8" t="s">
        <v>114</v>
      </c>
      <c r="C313" s="8" t="s">
        <v>112</v>
      </c>
      <c r="D313" s="8" t="s">
        <v>256</v>
      </c>
      <c r="E313" s="8"/>
      <c r="F313" s="20">
        <f>F315+F314</f>
        <v>60496.5</v>
      </c>
      <c r="G313" s="20">
        <f>G315+G314</f>
        <v>0</v>
      </c>
      <c r="H313" s="20">
        <f>H315+H314</f>
        <v>49448.7</v>
      </c>
      <c r="I313" s="20">
        <f>I315+I314</f>
        <v>0</v>
      </c>
      <c r="J313" s="20"/>
    </row>
    <row r="314" spans="1:10" ht="14.25">
      <c r="A314" s="7" t="s">
        <v>147</v>
      </c>
      <c r="B314" s="8" t="s">
        <v>114</v>
      </c>
      <c r="C314" s="8" t="s">
        <v>112</v>
      </c>
      <c r="D314" s="8" t="s">
        <v>256</v>
      </c>
      <c r="E314" s="8" t="s">
        <v>148</v>
      </c>
      <c r="F314" s="20">
        <f>'Прилож №8'!G386</f>
        <v>43336.1</v>
      </c>
      <c r="G314" s="20">
        <f>'Прилож №8'!H386</f>
        <v>0</v>
      </c>
      <c r="H314" s="20">
        <f>'Прилож №8'!I386</f>
        <v>42486.6</v>
      </c>
      <c r="I314" s="20">
        <f>'Прилож №8'!J386</f>
        <v>0</v>
      </c>
      <c r="J314" s="20"/>
    </row>
    <row r="315" spans="1:10" ht="14.25">
      <c r="A315" s="7" t="s">
        <v>86</v>
      </c>
      <c r="B315" s="8" t="s">
        <v>114</v>
      </c>
      <c r="C315" s="8" t="s">
        <v>112</v>
      </c>
      <c r="D315" s="8" t="s">
        <v>256</v>
      </c>
      <c r="E315" s="8" t="s">
        <v>150</v>
      </c>
      <c r="F315" s="20">
        <f>'Прилож №8'!G180+'Прилож №8'!G387</f>
        <v>17160.4</v>
      </c>
      <c r="G315" s="20">
        <f>'Прилож №8'!H180+'Прилож №8'!H387</f>
        <v>0</v>
      </c>
      <c r="H315" s="20">
        <f>'Прилож №8'!I180+'Прилож №8'!I387</f>
        <v>6962.1</v>
      </c>
      <c r="I315" s="20">
        <f>'Прилож №8'!J180+'Прилож №8'!J387</f>
        <v>0</v>
      </c>
      <c r="J315" s="20"/>
    </row>
    <row r="316" spans="1:12" ht="15">
      <c r="A316" s="10" t="s">
        <v>215</v>
      </c>
      <c r="B316" s="11" t="s">
        <v>115</v>
      </c>
      <c r="C316" s="11"/>
      <c r="D316" s="11"/>
      <c r="E316" s="11"/>
      <c r="F316" s="19">
        <f>F317+F353</f>
        <v>91657.80000000002</v>
      </c>
      <c r="G316" s="19">
        <f>G317+G353</f>
        <v>1077.3</v>
      </c>
      <c r="H316" s="19">
        <f>H317+H353</f>
        <v>89523.80000000002</v>
      </c>
      <c r="I316" s="19">
        <f>I317+I353</f>
        <v>1052.6</v>
      </c>
      <c r="J316" s="37">
        <f>H316/F316*100</f>
        <v>97.67177479712583</v>
      </c>
      <c r="K316" s="54"/>
      <c r="L316" s="54"/>
    </row>
    <row r="317" spans="1:10" ht="15">
      <c r="A317" s="10" t="s">
        <v>20</v>
      </c>
      <c r="B317" s="11" t="s">
        <v>115</v>
      </c>
      <c r="C317" s="11" t="s">
        <v>106</v>
      </c>
      <c r="D317" s="11"/>
      <c r="E317" s="11"/>
      <c r="F317" s="19">
        <f>F333+F340+F348+F318+F329</f>
        <v>69353.90000000001</v>
      </c>
      <c r="G317" s="19">
        <f>G333+G340+G348+G318+G329</f>
        <v>1077.3</v>
      </c>
      <c r="H317" s="19">
        <f>H333+H340+H348+H318+H329</f>
        <v>68411.20000000001</v>
      </c>
      <c r="I317" s="19">
        <f>I333+I340+I348+I318+I329</f>
        <v>1052.6</v>
      </c>
      <c r="J317" s="37">
        <f>H317/F317*100</f>
        <v>98.64073974210535</v>
      </c>
    </row>
    <row r="318" spans="1:10" ht="30">
      <c r="A318" s="35" t="s">
        <v>72</v>
      </c>
      <c r="B318" s="11" t="s">
        <v>115</v>
      </c>
      <c r="C318" s="11" t="s">
        <v>106</v>
      </c>
      <c r="D318" s="11" t="s">
        <v>21</v>
      </c>
      <c r="E318" s="11"/>
      <c r="F318" s="19">
        <f>F324+F326+F319+F322</f>
        <v>42779.600000000006</v>
      </c>
      <c r="G318" s="19">
        <f>G324+G326+G319+G322</f>
        <v>831.3</v>
      </c>
      <c r="H318" s="19">
        <f>H324+H326+H319+H322</f>
        <v>42054.3</v>
      </c>
      <c r="I318" s="19">
        <f>I324+I326+I319+I322</f>
        <v>831.3</v>
      </c>
      <c r="J318" s="20"/>
    </row>
    <row r="319" spans="1:10" ht="28.5">
      <c r="A319" s="6" t="s">
        <v>452</v>
      </c>
      <c r="B319" s="8" t="s">
        <v>115</v>
      </c>
      <c r="C319" s="8" t="s">
        <v>106</v>
      </c>
      <c r="D319" s="8" t="s">
        <v>214</v>
      </c>
      <c r="E319" s="8"/>
      <c r="F319" s="20">
        <f aca="true" t="shared" si="26" ref="F319:I320">F320</f>
        <v>232.3</v>
      </c>
      <c r="G319" s="20">
        <f t="shared" si="26"/>
        <v>232.3</v>
      </c>
      <c r="H319" s="20">
        <f t="shared" si="26"/>
        <v>232.3</v>
      </c>
      <c r="I319" s="20">
        <f t="shared" si="26"/>
        <v>232.3</v>
      </c>
      <c r="J319" s="20"/>
    </row>
    <row r="320" spans="1:10" ht="28.5">
      <c r="A320" s="6" t="s">
        <v>453</v>
      </c>
      <c r="B320" s="8" t="s">
        <v>115</v>
      </c>
      <c r="C320" s="8" t="s">
        <v>106</v>
      </c>
      <c r="D320" s="8" t="s">
        <v>214</v>
      </c>
      <c r="E320" s="8"/>
      <c r="F320" s="20">
        <f t="shared" si="26"/>
        <v>232.3</v>
      </c>
      <c r="G320" s="20">
        <f t="shared" si="26"/>
        <v>232.3</v>
      </c>
      <c r="H320" s="20">
        <f t="shared" si="26"/>
        <v>232.3</v>
      </c>
      <c r="I320" s="20">
        <f t="shared" si="26"/>
        <v>232.3</v>
      </c>
      <c r="J320" s="20"/>
    </row>
    <row r="321" spans="1:10" ht="14.25">
      <c r="A321" s="7" t="s">
        <v>354</v>
      </c>
      <c r="B321" s="8" t="s">
        <v>115</v>
      </c>
      <c r="C321" s="8" t="s">
        <v>106</v>
      </c>
      <c r="D321" s="8" t="s">
        <v>214</v>
      </c>
      <c r="E321" s="8" t="s">
        <v>353</v>
      </c>
      <c r="F321" s="20">
        <f>'Прилож №8'!G433</f>
        <v>232.3</v>
      </c>
      <c r="G321" s="20">
        <f>'Прилож №8'!H433</f>
        <v>232.3</v>
      </c>
      <c r="H321" s="20">
        <f>'Прилож №8'!I433</f>
        <v>232.3</v>
      </c>
      <c r="I321" s="20">
        <f>'Прилож №8'!J433</f>
        <v>232.3</v>
      </c>
      <c r="J321" s="20"/>
    </row>
    <row r="322" spans="1:10" ht="99.75">
      <c r="A322" s="6" t="s">
        <v>471</v>
      </c>
      <c r="B322" s="8" t="s">
        <v>115</v>
      </c>
      <c r="C322" s="8" t="s">
        <v>106</v>
      </c>
      <c r="D322" s="8" t="s">
        <v>470</v>
      </c>
      <c r="E322" s="8"/>
      <c r="F322" s="20">
        <f>F323</f>
        <v>599</v>
      </c>
      <c r="G322" s="20">
        <f>G323</f>
        <v>599</v>
      </c>
      <c r="H322" s="20">
        <f>H323</f>
        <v>599</v>
      </c>
      <c r="I322" s="20">
        <f>I323</f>
        <v>599</v>
      </c>
      <c r="J322" s="20"/>
    </row>
    <row r="323" spans="1:10" ht="14.25">
      <c r="A323" s="7" t="s">
        <v>354</v>
      </c>
      <c r="B323" s="8" t="s">
        <v>115</v>
      </c>
      <c r="C323" s="8" t="s">
        <v>106</v>
      </c>
      <c r="D323" s="8" t="s">
        <v>470</v>
      </c>
      <c r="E323" s="8" t="s">
        <v>353</v>
      </c>
      <c r="F323" s="20">
        <f>'Прилож №8'!G435</f>
        <v>599</v>
      </c>
      <c r="G323" s="20">
        <f>'Прилож №8'!H435</f>
        <v>599</v>
      </c>
      <c r="H323" s="20">
        <f>'Прилож №8'!I435</f>
        <v>599</v>
      </c>
      <c r="I323" s="20">
        <f>'Прилож №8'!J435</f>
        <v>599</v>
      </c>
      <c r="J323" s="20"/>
    </row>
    <row r="324" spans="1:10" ht="19.5" customHeight="1">
      <c r="A324" s="6" t="s">
        <v>228</v>
      </c>
      <c r="B324" s="8" t="s">
        <v>115</v>
      </c>
      <c r="C324" s="8" t="s">
        <v>106</v>
      </c>
      <c r="D324" s="8" t="s">
        <v>236</v>
      </c>
      <c r="E324" s="11"/>
      <c r="F324" s="20">
        <f>F325</f>
        <v>4761.099999999999</v>
      </c>
      <c r="G324" s="20">
        <f>G325</f>
        <v>0</v>
      </c>
      <c r="H324" s="20">
        <f>H325</f>
        <v>4728.9</v>
      </c>
      <c r="I324" s="20">
        <f>I325</f>
        <v>0</v>
      </c>
      <c r="J324" s="20"/>
    </row>
    <row r="325" spans="1:10" ht="14.25">
      <c r="A325" s="7" t="s">
        <v>147</v>
      </c>
      <c r="B325" s="8" t="s">
        <v>115</v>
      </c>
      <c r="C325" s="8" t="s">
        <v>106</v>
      </c>
      <c r="D325" s="8" t="s">
        <v>236</v>
      </c>
      <c r="E325" s="8" t="s">
        <v>148</v>
      </c>
      <c r="F325" s="20">
        <f>'Прилож №8'!G437</f>
        <v>4761.099999999999</v>
      </c>
      <c r="G325" s="20">
        <f>'Прилож №8'!H437</f>
        <v>0</v>
      </c>
      <c r="H325" s="20">
        <f>'Прилож №8'!I437</f>
        <v>4728.9</v>
      </c>
      <c r="I325" s="20">
        <f>'Прилож №8'!J437</f>
        <v>0</v>
      </c>
      <c r="J325" s="20"/>
    </row>
    <row r="326" spans="1:10" ht="14.25">
      <c r="A326" s="7" t="s">
        <v>14</v>
      </c>
      <c r="B326" s="8" t="s">
        <v>115</v>
      </c>
      <c r="C326" s="8" t="s">
        <v>106</v>
      </c>
      <c r="D326" s="8" t="s">
        <v>129</v>
      </c>
      <c r="E326" s="8"/>
      <c r="F326" s="20">
        <f>F327+F328</f>
        <v>37187.200000000004</v>
      </c>
      <c r="G326" s="20">
        <f>G327+G328</f>
        <v>0</v>
      </c>
      <c r="H326" s="20">
        <f>H327+H328</f>
        <v>36494.1</v>
      </c>
      <c r="I326" s="20">
        <f>I327+I328</f>
        <v>0</v>
      </c>
      <c r="J326" s="20"/>
    </row>
    <row r="327" spans="1:10" ht="14.25">
      <c r="A327" s="7" t="s">
        <v>95</v>
      </c>
      <c r="B327" s="8" t="s">
        <v>115</v>
      </c>
      <c r="C327" s="8" t="s">
        <v>106</v>
      </c>
      <c r="D327" s="8" t="s">
        <v>129</v>
      </c>
      <c r="E327" s="8" t="s">
        <v>52</v>
      </c>
      <c r="F327" s="20">
        <f>'Прилож №8'!G439</f>
        <v>139.9</v>
      </c>
      <c r="G327" s="20">
        <f>'Прилож №8'!H439</f>
        <v>0</v>
      </c>
      <c r="H327" s="20">
        <f>'Прилож №8'!I439</f>
        <v>139.9</v>
      </c>
      <c r="I327" s="20">
        <f>'Прилож №8'!J439</f>
        <v>0</v>
      </c>
      <c r="J327" s="20"/>
    </row>
    <row r="328" spans="1:10" ht="14.25">
      <c r="A328" s="7" t="s">
        <v>147</v>
      </c>
      <c r="B328" s="8" t="s">
        <v>115</v>
      </c>
      <c r="C328" s="8" t="s">
        <v>106</v>
      </c>
      <c r="D328" s="8" t="s">
        <v>129</v>
      </c>
      <c r="E328" s="8" t="s">
        <v>148</v>
      </c>
      <c r="F328" s="20">
        <f>'Прилож №8'!G440</f>
        <v>37047.3</v>
      </c>
      <c r="G328" s="20">
        <f>'Прилож №8'!H440</f>
        <v>0</v>
      </c>
      <c r="H328" s="20">
        <f>'Прилож №8'!I440</f>
        <v>36354.2</v>
      </c>
      <c r="I328" s="20">
        <f>'Прилож №8'!J440</f>
        <v>0</v>
      </c>
      <c r="J328" s="20"/>
    </row>
    <row r="329" spans="1:10" ht="14.25">
      <c r="A329" s="7" t="s">
        <v>74</v>
      </c>
      <c r="B329" s="8" t="s">
        <v>115</v>
      </c>
      <c r="C329" s="8" t="s">
        <v>106</v>
      </c>
      <c r="D329" s="8" t="s">
        <v>58</v>
      </c>
      <c r="E329" s="8"/>
      <c r="F329" s="20">
        <f aca="true" t="shared" si="27" ref="F329:I331">F330</f>
        <v>50</v>
      </c>
      <c r="G329" s="20">
        <f t="shared" si="27"/>
        <v>50</v>
      </c>
      <c r="H329" s="20">
        <f t="shared" si="27"/>
        <v>50</v>
      </c>
      <c r="I329" s="20">
        <f t="shared" si="27"/>
        <v>50</v>
      </c>
      <c r="J329" s="20"/>
    </row>
    <row r="330" spans="1:10" ht="71.25">
      <c r="A330" s="6" t="s">
        <v>503</v>
      </c>
      <c r="B330" s="8" t="s">
        <v>115</v>
      </c>
      <c r="C330" s="8" t="s">
        <v>106</v>
      </c>
      <c r="D330" s="8" t="s">
        <v>485</v>
      </c>
      <c r="E330" s="8"/>
      <c r="F330" s="20">
        <f t="shared" si="27"/>
        <v>50</v>
      </c>
      <c r="G330" s="20">
        <f t="shared" si="27"/>
        <v>50</v>
      </c>
      <c r="H330" s="20">
        <f t="shared" si="27"/>
        <v>50</v>
      </c>
      <c r="I330" s="20">
        <f t="shared" si="27"/>
        <v>50</v>
      </c>
      <c r="J330" s="20"/>
    </row>
    <row r="331" spans="1:10" ht="28.5">
      <c r="A331" s="6" t="s">
        <v>487</v>
      </c>
      <c r="B331" s="8" t="s">
        <v>115</v>
      </c>
      <c r="C331" s="8" t="s">
        <v>106</v>
      </c>
      <c r="D331" s="8" t="s">
        <v>486</v>
      </c>
      <c r="E331" s="8"/>
      <c r="F331" s="20">
        <f t="shared" si="27"/>
        <v>50</v>
      </c>
      <c r="G331" s="20">
        <f t="shared" si="27"/>
        <v>50</v>
      </c>
      <c r="H331" s="20">
        <f t="shared" si="27"/>
        <v>50</v>
      </c>
      <c r="I331" s="20">
        <f t="shared" si="27"/>
        <v>50</v>
      </c>
      <c r="J331" s="20"/>
    </row>
    <row r="332" spans="1:10" ht="14.25">
      <c r="A332" s="7" t="s">
        <v>307</v>
      </c>
      <c r="B332" s="8" t="s">
        <v>115</v>
      </c>
      <c r="C332" s="8" t="s">
        <v>106</v>
      </c>
      <c r="D332" s="8" t="s">
        <v>486</v>
      </c>
      <c r="E332" s="8" t="s">
        <v>304</v>
      </c>
      <c r="F332" s="20">
        <f>'Прилож №8'!G464</f>
        <v>50</v>
      </c>
      <c r="G332" s="20">
        <f>'Прилож №8'!H464</f>
        <v>50</v>
      </c>
      <c r="H332" s="20">
        <f>'Прилож №8'!I464</f>
        <v>50</v>
      </c>
      <c r="I332" s="20">
        <f>'Прилож №8'!J464</f>
        <v>50</v>
      </c>
      <c r="J332" s="20"/>
    </row>
    <row r="333" spans="1:10" ht="15">
      <c r="A333" s="10" t="s">
        <v>6</v>
      </c>
      <c r="B333" s="11" t="s">
        <v>115</v>
      </c>
      <c r="C333" s="11" t="s">
        <v>106</v>
      </c>
      <c r="D333" s="11" t="s">
        <v>22</v>
      </c>
      <c r="E333" s="11"/>
      <c r="F333" s="19">
        <f>F334+F337</f>
        <v>3972.7000000000003</v>
      </c>
      <c r="G333" s="19">
        <f>G334+G337</f>
        <v>0</v>
      </c>
      <c r="H333" s="19">
        <f>H334+H337</f>
        <v>3780</v>
      </c>
      <c r="I333" s="19">
        <f>I334+I337</f>
        <v>0</v>
      </c>
      <c r="J333" s="20"/>
    </row>
    <row r="334" spans="1:10" ht="21" customHeight="1">
      <c r="A334" s="6" t="s">
        <v>228</v>
      </c>
      <c r="B334" s="8" t="s">
        <v>115</v>
      </c>
      <c r="C334" s="8" t="s">
        <v>106</v>
      </c>
      <c r="D334" s="8" t="s">
        <v>237</v>
      </c>
      <c r="E334" s="11"/>
      <c r="F334" s="20">
        <f>F336+F335</f>
        <v>4.3</v>
      </c>
      <c r="G334" s="20">
        <f>G336+G335</f>
        <v>0</v>
      </c>
      <c r="H334" s="20">
        <f>H336+H335</f>
        <v>4.3</v>
      </c>
      <c r="I334" s="20">
        <f>I336+I335</f>
        <v>0</v>
      </c>
      <c r="J334" s="20"/>
    </row>
    <row r="335" spans="1:10" ht="14.25">
      <c r="A335" s="7" t="s">
        <v>95</v>
      </c>
      <c r="B335" s="8" t="s">
        <v>115</v>
      </c>
      <c r="C335" s="8" t="s">
        <v>106</v>
      </c>
      <c r="D335" s="8" t="s">
        <v>237</v>
      </c>
      <c r="E335" s="8" t="s">
        <v>52</v>
      </c>
      <c r="F335" s="20">
        <f>'Прилож №8'!G443</f>
        <v>0</v>
      </c>
      <c r="G335" s="20">
        <f>'Прилож №8'!H443</f>
        <v>0</v>
      </c>
      <c r="H335" s="20">
        <f>'Прилож №8'!I443</f>
        <v>0</v>
      </c>
      <c r="I335" s="20">
        <f>'Прилож №8'!J443</f>
        <v>0</v>
      </c>
      <c r="J335" s="20"/>
    </row>
    <row r="336" spans="1:10" ht="14.25">
      <c r="A336" s="7" t="s">
        <v>147</v>
      </c>
      <c r="B336" s="8" t="s">
        <v>115</v>
      </c>
      <c r="C336" s="8" t="s">
        <v>106</v>
      </c>
      <c r="D336" s="8" t="s">
        <v>237</v>
      </c>
      <c r="E336" s="8" t="s">
        <v>148</v>
      </c>
      <c r="F336" s="20">
        <f>'Прилож №8'!G444</f>
        <v>4.3</v>
      </c>
      <c r="G336" s="20">
        <f>'Прилож №8'!H444</f>
        <v>0</v>
      </c>
      <c r="H336" s="20">
        <f>'Прилож №8'!I444</f>
        <v>4.3</v>
      </c>
      <c r="I336" s="20">
        <f>'Прилож №8'!J444</f>
        <v>0</v>
      </c>
      <c r="J336" s="20"/>
    </row>
    <row r="337" spans="1:10" ht="14.25">
      <c r="A337" s="7" t="s">
        <v>14</v>
      </c>
      <c r="B337" s="8" t="s">
        <v>115</v>
      </c>
      <c r="C337" s="8" t="s">
        <v>106</v>
      </c>
      <c r="D337" s="8" t="s">
        <v>130</v>
      </c>
      <c r="E337" s="8"/>
      <c r="F337" s="20">
        <f>F338+F339</f>
        <v>3968.4</v>
      </c>
      <c r="G337" s="20">
        <f>G338+G339</f>
        <v>0</v>
      </c>
      <c r="H337" s="20">
        <f>H338+H339</f>
        <v>3775.7</v>
      </c>
      <c r="I337" s="20">
        <f>I338+I339</f>
        <v>0</v>
      </c>
      <c r="J337" s="20"/>
    </row>
    <row r="338" spans="1:10" ht="14.25">
      <c r="A338" s="7" t="s">
        <v>95</v>
      </c>
      <c r="B338" s="8" t="s">
        <v>115</v>
      </c>
      <c r="C338" s="8" t="s">
        <v>106</v>
      </c>
      <c r="D338" s="8" t="s">
        <v>130</v>
      </c>
      <c r="E338" s="8" t="s">
        <v>52</v>
      </c>
      <c r="F338" s="20">
        <f>'Прилож №8'!G446</f>
        <v>2.1</v>
      </c>
      <c r="G338" s="20">
        <f>'Прилож №8'!H446</f>
        <v>0</v>
      </c>
      <c r="H338" s="20">
        <f>'Прилож №8'!I446</f>
        <v>2.1</v>
      </c>
      <c r="I338" s="20">
        <f>'Прилож №8'!J446</f>
        <v>0</v>
      </c>
      <c r="J338" s="20"/>
    </row>
    <row r="339" spans="1:10" ht="14.25">
      <c r="A339" s="7" t="s">
        <v>147</v>
      </c>
      <c r="B339" s="8" t="s">
        <v>115</v>
      </c>
      <c r="C339" s="8" t="s">
        <v>106</v>
      </c>
      <c r="D339" s="8" t="s">
        <v>130</v>
      </c>
      <c r="E339" s="8" t="s">
        <v>148</v>
      </c>
      <c r="F339" s="20">
        <f>'Прилож №8'!G447</f>
        <v>3966.3</v>
      </c>
      <c r="G339" s="20">
        <f>'Прилож №8'!H447</f>
        <v>0</v>
      </c>
      <c r="H339" s="20">
        <f>'Прилож №8'!I447</f>
        <v>3773.6</v>
      </c>
      <c r="I339" s="20">
        <f>'Прилож №8'!J447</f>
        <v>0</v>
      </c>
      <c r="J339" s="20"/>
    </row>
    <row r="340" spans="1:10" ht="15">
      <c r="A340" s="10" t="s">
        <v>7</v>
      </c>
      <c r="B340" s="11" t="s">
        <v>115</v>
      </c>
      <c r="C340" s="11" t="s">
        <v>106</v>
      </c>
      <c r="D340" s="11" t="s">
        <v>23</v>
      </c>
      <c r="E340" s="11"/>
      <c r="F340" s="19">
        <f>F343+F345+F341</f>
        <v>11434.6</v>
      </c>
      <c r="G340" s="19">
        <f>G343+G345+G341</f>
        <v>196</v>
      </c>
      <c r="H340" s="19">
        <f>H343+H345+H341</f>
        <v>11409.9</v>
      </c>
      <c r="I340" s="19">
        <f>I343+I345+I341</f>
        <v>171.3</v>
      </c>
      <c r="J340" s="20"/>
    </row>
    <row r="341" spans="1:10" ht="43.5">
      <c r="A341" s="6" t="s">
        <v>443</v>
      </c>
      <c r="B341" s="11" t="s">
        <v>115</v>
      </c>
      <c r="C341" s="11" t="s">
        <v>106</v>
      </c>
      <c r="D341" s="8" t="s">
        <v>444</v>
      </c>
      <c r="E341" s="11"/>
      <c r="F341" s="20">
        <f>F342</f>
        <v>196</v>
      </c>
      <c r="G341" s="20">
        <f>G342</f>
        <v>196</v>
      </c>
      <c r="H341" s="20">
        <f>H342</f>
        <v>171.3</v>
      </c>
      <c r="I341" s="20">
        <f>I342</f>
        <v>171.3</v>
      </c>
      <c r="J341" s="20"/>
    </row>
    <row r="342" spans="1:10" ht="15">
      <c r="A342" s="7" t="s">
        <v>354</v>
      </c>
      <c r="B342" s="11" t="s">
        <v>115</v>
      </c>
      <c r="C342" s="11" t="s">
        <v>106</v>
      </c>
      <c r="D342" s="8" t="s">
        <v>444</v>
      </c>
      <c r="E342" s="8" t="s">
        <v>353</v>
      </c>
      <c r="F342" s="20">
        <f>'Прилож №8'!G450</f>
        <v>196</v>
      </c>
      <c r="G342" s="20">
        <f>'Прилож №8'!H450</f>
        <v>196</v>
      </c>
      <c r="H342" s="20">
        <f>'Прилож №8'!I450</f>
        <v>171.3</v>
      </c>
      <c r="I342" s="20">
        <f>'Прилож №8'!J450</f>
        <v>171.3</v>
      </c>
      <c r="J342" s="20"/>
    </row>
    <row r="343" spans="1:10" ht="19.5" customHeight="1">
      <c r="A343" s="6" t="s">
        <v>228</v>
      </c>
      <c r="B343" s="8" t="s">
        <v>115</v>
      </c>
      <c r="C343" s="8" t="s">
        <v>106</v>
      </c>
      <c r="D343" s="8" t="s">
        <v>235</v>
      </c>
      <c r="E343" s="8"/>
      <c r="F343" s="20">
        <f>F344</f>
        <v>6</v>
      </c>
      <c r="G343" s="20">
        <f>G344</f>
        <v>0</v>
      </c>
      <c r="H343" s="20">
        <f>H344</f>
        <v>6</v>
      </c>
      <c r="I343" s="20">
        <f>I344</f>
        <v>0</v>
      </c>
      <c r="J343" s="20"/>
    </row>
    <row r="344" spans="1:10" ht="14.25">
      <c r="A344" s="7" t="s">
        <v>147</v>
      </c>
      <c r="B344" s="8" t="s">
        <v>115</v>
      </c>
      <c r="C344" s="8" t="s">
        <v>106</v>
      </c>
      <c r="D344" s="8" t="s">
        <v>235</v>
      </c>
      <c r="E344" s="8" t="s">
        <v>148</v>
      </c>
      <c r="F344" s="20">
        <f>'Прилож №8'!G452</f>
        <v>6</v>
      </c>
      <c r="G344" s="20">
        <f>'Прилож №8'!H452</f>
        <v>0</v>
      </c>
      <c r="H344" s="20">
        <f>'Прилож №8'!I452</f>
        <v>6</v>
      </c>
      <c r="I344" s="20">
        <f>'Прилож №8'!J452</f>
        <v>0</v>
      </c>
      <c r="J344" s="20"/>
    </row>
    <row r="345" spans="1:10" ht="14.25">
      <c r="A345" s="7" t="s">
        <v>14</v>
      </c>
      <c r="B345" s="8" t="s">
        <v>115</v>
      </c>
      <c r="C345" s="8" t="s">
        <v>106</v>
      </c>
      <c r="D345" s="8" t="s">
        <v>131</v>
      </c>
      <c r="E345" s="8"/>
      <c r="F345" s="20">
        <f>F347+F346</f>
        <v>11232.6</v>
      </c>
      <c r="G345" s="20">
        <f>G347+G346</f>
        <v>0</v>
      </c>
      <c r="H345" s="20">
        <f>H347+H346</f>
        <v>11232.6</v>
      </c>
      <c r="I345" s="20">
        <f>I347+I346</f>
        <v>0</v>
      </c>
      <c r="J345" s="20"/>
    </row>
    <row r="346" spans="1:10" ht="14.25">
      <c r="A346" s="7" t="s">
        <v>95</v>
      </c>
      <c r="B346" s="8" t="s">
        <v>115</v>
      </c>
      <c r="C346" s="8" t="s">
        <v>106</v>
      </c>
      <c r="D346" s="8" t="s">
        <v>131</v>
      </c>
      <c r="E346" s="8" t="s">
        <v>52</v>
      </c>
      <c r="F346" s="20">
        <f>'Прилож №8'!G454</f>
        <v>11.4</v>
      </c>
      <c r="G346" s="20">
        <f>'Прилож №8'!H454</f>
        <v>0</v>
      </c>
      <c r="H346" s="20">
        <f>'Прилож №8'!I454</f>
        <v>11.4</v>
      </c>
      <c r="I346" s="20">
        <f>'Прилож №8'!J454</f>
        <v>0</v>
      </c>
      <c r="J346" s="20"/>
    </row>
    <row r="347" spans="1:10" ht="14.25">
      <c r="A347" s="7" t="s">
        <v>147</v>
      </c>
      <c r="B347" s="8" t="s">
        <v>115</v>
      </c>
      <c r="C347" s="8" t="s">
        <v>106</v>
      </c>
      <c r="D347" s="8" t="s">
        <v>131</v>
      </c>
      <c r="E347" s="8" t="s">
        <v>148</v>
      </c>
      <c r="F347" s="20">
        <f>'Прилож №8'!G455</f>
        <v>11221.2</v>
      </c>
      <c r="G347" s="20">
        <f>'Прилож №8'!H455</f>
        <v>0</v>
      </c>
      <c r="H347" s="20">
        <f>'Прилож №8'!I455</f>
        <v>11221.2</v>
      </c>
      <c r="I347" s="20">
        <f>'Прилож №8'!J455</f>
        <v>0</v>
      </c>
      <c r="J347" s="20"/>
    </row>
    <row r="348" spans="1:10" ht="30">
      <c r="A348" s="35" t="s">
        <v>69</v>
      </c>
      <c r="B348" s="11" t="s">
        <v>115</v>
      </c>
      <c r="C348" s="11" t="s">
        <v>106</v>
      </c>
      <c r="D348" s="11" t="s">
        <v>24</v>
      </c>
      <c r="E348" s="11"/>
      <c r="F348" s="19">
        <f>F349+F351</f>
        <v>11117</v>
      </c>
      <c r="G348" s="19">
        <f>G349+G351</f>
        <v>0</v>
      </c>
      <c r="H348" s="19">
        <f>H349+H351</f>
        <v>11117</v>
      </c>
      <c r="I348" s="19">
        <f>I349+I351</f>
        <v>0</v>
      </c>
      <c r="J348" s="20"/>
    </row>
    <row r="349" spans="1:10" ht="18" customHeight="1">
      <c r="A349" s="6" t="s">
        <v>228</v>
      </c>
      <c r="B349" s="8" t="s">
        <v>115</v>
      </c>
      <c r="C349" s="8" t="s">
        <v>106</v>
      </c>
      <c r="D349" s="8" t="s">
        <v>238</v>
      </c>
      <c r="E349" s="8"/>
      <c r="F349" s="20">
        <f>F350</f>
        <v>283.7</v>
      </c>
      <c r="G349" s="20">
        <f>G350</f>
        <v>0</v>
      </c>
      <c r="H349" s="20">
        <f>H350</f>
        <v>283.7</v>
      </c>
      <c r="I349" s="20">
        <f>I350</f>
        <v>0</v>
      </c>
      <c r="J349" s="20"/>
    </row>
    <row r="350" spans="1:10" ht="14.25">
      <c r="A350" s="7" t="s">
        <v>147</v>
      </c>
      <c r="B350" s="8" t="s">
        <v>115</v>
      </c>
      <c r="C350" s="8" t="s">
        <v>106</v>
      </c>
      <c r="D350" s="8" t="s">
        <v>238</v>
      </c>
      <c r="E350" s="8" t="s">
        <v>148</v>
      </c>
      <c r="F350" s="20">
        <f>'Прилож №8'!G458</f>
        <v>283.7</v>
      </c>
      <c r="G350" s="20">
        <f>'Прилож №8'!H458</f>
        <v>0</v>
      </c>
      <c r="H350" s="20">
        <f>'Прилож №8'!I458</f>
        <v>283.7</v>
      </c>
      <c r="I350" s="20">
        <f>'Прилож №8'!J458</f>
        <v>0</v>
      </c>
      <c r="J350" s="20"/>
    </row>
    <row r="351" spans="1:10" ht="14.25">
      <c r="A351" s="7" t="s">
        <v>14</v>
      </c>
      <c r="B351" s="8" t="s">
        <v>115</v>
      </c>
      <c r="C351" s="8" t="s">
        <v>106</v>
      </c>
      <c r="D351" s="8" t="s">
        <v>132</v>
      </c>
      <c r="E351" s="8"/>
      <c r="F351" s="20">
        <f>F352</f>
        <v>10833.3</v>
      </c>
      <c r="G351" s="20">
        <f>G352</f>
        <v>0</v>
      </c>
      <c r="H351" s="20">
        <f>H352</f>
        <v>10833.3</v>
      </c>
      <c r="I351" s="20">
        <f>I352</f>
        <v>0</v>
      </c>
      <c r="J351" s="20"/>
    </row>
    <row r="352" spans="1:10" ht="14.25">
      <c r="A352" s="7" t="s">
        <v>95</v>
      </c>
      <c r="B352" s="8" t="s">
        <v>115</v>
      </c>
      <c r="C352" s="8" t="s">
        <v>106</v>
      </c>
      <c r="D352" s="8" t="s">
        <v>132</v>
      </c>
      <c r="E352" s="8" t="s">
        <v>148</v>
      </c>
      <c r="F352" s="20">
        <f>'Прилож №8'!G460</f>
        <v>10833.3</v>
      </c>
      <c r="G352" s="20">
        <f>'Прилож №8'!H460</f>
        <v>0</v>
      </c>
      <c r="H352" s="20">
        <f>'Прилож №8'!I460</f>
        <v>10833.3</v>
      </c>
      <c r="I352" s="20">
        <f>'Прилож №8'!J460</f>
        <v>0</v>
      </c>
      <c r="J352" s="20"/>
    </row>
    <row r="353" spans="1:10" ht="15">
      <c r="A353" s="10" t="s">
        <v>217</v>
      </c>
      <c r="B353" s="11" t="s">
        <v>115</v>
      </c>
      <c r="C353" s="11" t="s">
        <v>108</v>
      </c>
      <c r="D353" s="11"/>
      <c r="E353" s="11"/>
      <c r="F353" s="20">
        <f>F354+F357+F359+F364</f>
        <v>22303.9</v>
      </c>
      <c r="G353" s="20">
        <f>G354+G357+G359+G364</f>
        <v>0</v>
      </c>
      <c r="H353" s="20">
        <f>H354+H357+H359+H364</f>
        <v>21112.6</v>
      </c>
      <c r="I353" s="20">
        <f>I354+I357+I359+I364</f>
        <v>0</v>
      </c>
      <c r="J353" s="37">
        <f>H353/F353*100</f>
        <v>94.65878164805257</v>
      </c>
    </row>
    <row r="354" spans="1:10" ht="15">
      <c r="A354" s="6" t="s">
        <v>87</v>
      </c>
      <c r="B354" s="8" t="s">
        <v>115</v>
      </c>
      <c r="C354" s="8" t="s">
        <v>108</v>
      </c>
      <c r="D354" s="8" t="s">
        <v>149</v>
      </c>
      <c r="E354" s="11"/>
      <c r="F354" s="20">
        <f aca="true" t="shared" si="28" ref="F354:I355">F355</f>
        <v>8384.5</v>
      </c>
      <c r="G354" s="20">
        <f t="shared" si="28"/>
        <v>0</v>
      </c>
      <c r="H354" s="20">
        <f t="shared" si="28"/>
        <v>7633.2</v>
      </c>
      <c r="I354" s="20">
        <f t="shared" si="28"/>
        <v>0</v>
      </c>
      <c r="J354" s="20"/>
    </row>
    <row r="355" spans="1:10" ht="15">
      <c r="A355" s="7" t="s">
        <v>33</v>
      </c>
      <c r="B355" s="8" t="s">
        <v>115</v>
      </c>
      <c r="C355" s="8" t="s">
        <v>108</v>
      </c>
      <c r="D355" s="8" t="s">
        <v>151</v>
      </c>
      <c r="E355" s="11"/>
      <c r="F355" s="20">
        <f t="shared" si="28"/>
        <v>8384.5</v>
      </c>
      <c r="G355" s="20">
        <f t="shared" si="28"/>
        <v>0</v>
      </c>
      <c r="H355" s="20">
        <f t="shared" si="28"/>
        <v>7633.2</v>
      </c>
      <c r="I355" s="20">
        <f t="shared" si="28"/>
        <v>0</v>
      </c>
      <c r="J355" s="20"/>
    </row>
    <row r="356" spans="1:10" ht="14.25">
      <c r="A356" s="7" t="s">
        <v>144</v>
      </c>
      <c r="B356" s="8" t="s">
        <v>115</v>
      </c>
      <c r="C356" s="8" t="s">
        <v>108</v>
      </c>
      <c r="D356" s="8" t="s">
        <v>151</v>
      </c>
      <c r="E356" s="8" t="s">
        <v>150</v>
      </c>
      <c r="F356" s="20">
        <f>'Прилож №8'!G468</f>
        <v>8384.5</v>
      </c>
      <c r="G356" s="20">
        <f>'Прилож №8'!H468</f>
        <v>0</v>
      </c>
      <c r="H356" s="20">
        <f>'Прилож №8'!I468</f>
        <v>7633.2</v>
      </c>
      <c r="I356" s="20">
        <f>'Прилож №8'!J468</f>
        <v>0</v>
      </c>
      <c r="J356" s="20"/>
    </row>
    <row r="357" spans="1:10" ht="16.5" customHeight="1">
      <c r="A357" s="6" t="s">
        <v>228</v>
      </c>
      <c r="B357" s="8" t="s">
        <v>115</v>
      </c>
      <c r="C357" s="8" t="s">
        <v>108</v>
      </c>
      <c r="D357" s="8" t="s">
        <v>229</v>
      </c>
      <c r="E357" s="8"/>
      <c r="F357" s="20">
        <f>F358</f>
        <v>8</v>
      </c>
      <c r="G357" s="20">
        <f>G358</f>
        <v>0</v>
      </c>
      <c r="H357" s="20">
        <f>H358</f>
        <v>0</v>
      </c>
      <c r="I357" s="20">
        <f>I358</f>
        <v>0</v>
      </c>
      <c r="J357" s="20"/>
    </row>
    <row r="358" spans="1:10" ht="14.25">
      <c r="A358" s="7" t="s">
        <v>144</v>
      </c>
      <c r="B358" s="8" t="s">
        <v>115</v>
      </c>
      <c r="C358" s="8" t="s">
        <v>108</v>
      </c>
      <c r="D358" s="8" t="s">
        <v>229</v>
      </c>
      <c r="E358" s="8" t="s">
        <v>150</v>
      </c>
      <c r="F358" s="20">
        <f>'Прилож №8'!G470</f>
        <v>8</v>
      </c>
      <c r="G358" s="20">
        <f>'Прилож №8'!H470</f>
        <v>0</v>
      </c>
      <c r="H358" s="20">
        <f>'Прилож №8'!I470</f>
        <v>0</v>
      </c>
      <c r="I358" s="20">
        <f>'Прилож №8'!J470</f>
        <v>0</v>
      </c>
      <c r="J358" s="20"/>
    </row>
    <row r="359" spans="1:10" ht="57">
      <c r="A359" s="6" t="s">
        <v>68</v>
      </c>
      <c r="B359" s="8" t="s">
        <v>115</v>
      </c>
      <c r="C359" s="8" t="s">
        <v>108</v>
      </c>
      <c r="D359" s="8" t="s">
        <v>25</v>
      </c>
      <c r="E359" s="8"/>
      <c r="F359" s="20">
        <f>F360+F362</f>
        <v>6982.2</v>
      </c>
      <c r="G359" s="20">
        <f>G360+G362</f>
        <v>0</v>
      </c>
      <c r="H359" s="20">
        <f>H360+H362</f>
        <v>6940.2</v>
      </c>
      <c r="I359" s="20">
        <f>I360+I362</f>
        <v>0</v>
      </c>
      <c r="J359" s="20"/>
    </row>
    <row r="360" spans="1:10" ht="18" customHeight="1">
      <c r="A360" s="6" t="s">
        <v>228</v>
      </c>
      <c r="B360" s="8" t="s">
        <v>115</v>
      </c>
      <c r="C360" s="8" t="s">
        <v>108</v>
      </c>
      <c r="D360" s="8" t="s">
        <v>233</v>
      </c>
      <c r="E360" s="8"/>
      <c r="F360" s="20">
        <f>F361</f>
        <v>58.2</v>
      </c>
      <c r="G360" s="20">
        <f>G361</f>
        <v>0</v>
      </c>
      <c r="H360" s="20">
        <f>H361</f>
        <v>58.2</v>
      </c>
      <c r="I360" s="20">
        <f>I361</f>
        <v>0</v>
      </c>
      <c r="J360" s="20"/>
    </row>
    <row r="361" spans="1:10" ht="14.25">
      <c r="A361" s="7" t="s">
        <v>147</v>
      </c>
      <c r="B361" s="8" t="s">
        <v>115</v>
      </c>
      <c r="C361" s="8" t="s">
        <v>108</v>
      </c>
      <c r="D361" s="8" t="s">
        <v>233</v>
      </c>
      <c r="E361" s="8" t="s">
        <v>148</v>
      </c>
      <c r="F361" s="20">
        <f>'Прилож №8'!G473</f>
        <v>58.2</v>
      </c>
      <c r="G361" s="20">
        <f>'Прилож №8'!H473</f>
        <v>0</v>
      </c>
      <c r="H361" s="20">
        <f>'Прилож №8'!I473</f>
        <v>58.2</v>
      </c>
      <c r="I361" s="20">
        <f>'Прилож №8'!J473</f>
        <v>0</v>
      </c>
      <c r="J361" s="20"/>
    </row>
    <row r="362" spans="1:10" ht="14.25">
      <c r="A362" s="7" t="s">
        <v>14</v>
      </c>
      <c r="B362" s="8" t="s">
        <v>115</v>
      </c>
      <c r="C362" s="8" t="s">
        <v>108</v>
      </c>
      <c r="D362" s="8" t="s">
        <v>127</v>
      </c>
      <c r="E362" s="8"/>
      <c r="F362" s="20">
        <f>F363</f>
        <v>6924</v>
      </c>
      <c r="G362" s="20">
        <f>G363</f>
        <v>0</v>
      </c>
      <c r="H362" s="20">
        <f>H363</f>
        <v>6882</v>
      </c>
      <c r="I362" s="20">
        <f>I363</f>
        <v>0</v>
      </c>
      <c r="J362" s="20"/>
    </row>
    <row r="363" spans="1:10" ht="14.25">
      <c r="A363" s="7" t="s">
        <v>147</v>
      </c>
      <c r="B363" s="8" t="s">
        <v>115</v>
      </c>
      <c r="C363" s="8" t="s">
        <v>108</v>
      </c>
      <c r="D363" s="8" t="s">
        <v>127</v>
      </c>
      <c r="E363" s="8" t="s">
        <v>148</v>
      </c>
      <c r="F363" s="20">
        <f>'Прилож №8'!G475</f>
        <v>6924</v>
      </c>
      <c r="G363" s="20">
        <f>'Прилож №8'!H475</f>
        <v>0</v>
      </c>
      <c r="H363" s="20">
        <f>'Прилож №8'!I475</f>
        <v>6882</v>
      </c>
      <c r="I363" s="20">
        <f>'Прилож №8'!J475</f>
        <v>0</v>
      </c>
      <c r="J363" s="20"/>
    </row>
    <row r="364" spans="1:10" ht="14.25">
      <c r="A364" s="7" t="s">
        <v>78</v>
      </c>
      <c r="B364" s="8" t="s">
        <v>115</v>
      </c>
      <c r="C364" s="8" t="s">
        <v>108</v>
      </c>
      <c r="D364" s="8" t="s">
        <v>79</v>
      </c>
      <c r="E364" s="8"/>
      <c r="F364" s="20">
        <f>F365+F367</f>
        <v>6929.2</v>
      </c>
      <c r="G364" s="20">
        <f>G365+G367</f>
        <v>0</v>
      </c>
      <c r="H364" s="20">
        <f>H365+H367</f>
        <v>6539.2</v>
      </c>
      <c r="I364" s="20">
        <f>I365+I367</f>
        <v>0</v>
      </c>
      <c r="J364" s="20"/>
    </row>
    <row r="365" spans="1:10" ht="42.75">
      <c r="A365" s="6" t="s">
        <v>222</v>
      </c>
      <c r="B365" s="8" t="s">
        <v>115</v>
      </c>
      <c r="C365" s="8" t="s">
        <v>108</v>
      </c>
      <c r="D365" s="8" t="s">
        <v>128</v>
      </c>
      <c r="E365" s="8"/>
      <c r="F365" s="20">
        <f>F366</f>
        <v>753.5999999999998</v>
      </c>
      <c r="G365" s="20">
        <f>G366</f>
        <v>0</v>
      </c>
      <c r="H365" s="20">
        <f>H366</f>
        <v>735.8</v>
      </c>
      <c r="I365" s="20">
        <f>I366</f>
        <v>0</v>
      </c>
      <c r="J365" s="20"/>
    </row>
    <row r="366" spans="1:10" ht="14.25">
      <c r="A366" s="7" t="s">
        <v>86</v>
      </c>
      <c r="B366" s="8" t="s">
        <v>115</v>
      </c>
      <c r="C366" s="8" t="s">
        <v>108</v>
      </c>
      <c r="D366" s="8" t="s">
        <v>128</v>
      </c>
      <c r="E366" s="8" t="s">
        <v>150</v>
      </c>
      <c r="F366" s="20">
        <f>'Прилож №8'!G478</f>
        <v>753.5999999999998</v>
      </c>
      <c r="G366" s="20">
        <f>'Прилож №8'!H478</f>
        <v>0</v>
      </c>
      <c r="H366" s="20">
        <f>'Прилож №8'!I478</f>
        <v>735.8</v>
      </c>
      <c r="I366" s="20">
        <f>'Прилож №8'!J478</f>
        <v>0</v>
      </c>
      <c r="J366" s="20"/>
    </row>
    <row r="367" spans="1:10" ht="28.5">
      <c r="A367" s="6" t="s">
        <v>206</v>
      </c>
      <c r="B367" s="8" t="s">
        <v>115</v>
      </c>
      <c r="C367" s="8" t="s">
        <v>108</v>
      </c>
      <c r="D367" s="8" t="s">
        <v>257</v>
      </c>
      <c r="E367" s="8"/>
      <c r="F367" s="20">
        <f>F368+F369</f>
        <v>6175.6</v>
      </c>
      <c r="G367" s="20">
        <f>G368+G369</f>
        <v>0</v>
      </c>
      <c r="H367" s="20">
        <f>H368+H369</f>
        <v>5803.4</v>
      </c>
      <c r="I367" s="20">
        <f>I368+I369</f>
        <v>0</v>
      </c>
      <c r="J367" s="20"/>
    </row>
    <row r="368" spans="1:10" ht="14.25">
      <c r="A368" s="7" t="s">
        <v>147</v>
      </c>
      <c r="B368" s="8" t="s">
        <v>115</v>
      </c>
      <c r="C368" s="8" t="s">
        <v>108</v>
      </c>
      <c r="D368" s="8" t="s">
        <v>257</v>
      </c>
      <c r="E368" s="8" t="s">
        <v>148</v>
      </c>
      <c r="F368" s="20">
        <f>'Прилож №8'!G480</f>
        <v>4183.8</v>
      </c>
      <c r="G368" s="20">
        <f>'Прилож №8'!H480</f>
        <v>0</v>
      </c>
      <c r="H368" s="20">
        <f>'Прилож №8'!I480</f>
        <v>4083.6</v>
      </c>
      <c r="I368" s="20">
        <f>'Прилож №8'!J480</f>
        <v>0</v>
      </c>
      <c r="J368" s="20"/>
    </row>
    <row r="369" spans="1:10" ht="14.25">
      <c r="A369" s="7" t="s">
        <v>86</v>
      </c>
      <c r="B369" s="8" t="s">
        <v>115</v>
      </c>
      <c r="C369" s="8" t="s">
        <v>108</v>
      </c>
      <c r="D369" s="8" t="s">
        <v>257</v>
      </c>
      <c r="E369" s="8" t="s">
        <v>150</v>
      </c>
      <c r="F369" s="20">
        <f>'Прилож №8'!G184+'Прилож №8'!G481</f>
        <v>1991.8000000000004</v>
      </c>
      <c r="G369" s="20">
        <f>'Прилож №8'!H184+'Прилож №8'!H481</f>
        <v>0</v>
      </c>
      <c r="H369" s="20">
        <f>'Прилож №8'!I184+'Прилож №8'!I481</f>
        <v>1719.8000000000002</v>
      </c>
      <c r="I369" s="20">
        <f>'Прилож №8'!J184+'Прилож №8'!J481</f>
        <v>0</v>
      </c>
      <c r="J369" s="20"/>
    </row>
    <row r="370" spans="1:10" ht="15">
      <c r="A370" s="10" t="s">
        <v>191</v>
      </c>
      <c r="B370" s="11" t="s">
        <v>112</v>
      </c>
      <c r="C370" s="11"/>
      <c r="D370" s="11"/>
      <c r="E370" s="11"/>
      <c r="F370" s="19">
        <f>F371+F389+F402+F408+F419</f>
        <v>821787.6000000001</v>
      </c>
      <c r="G370" s="19">
        <f>G371+G389+G402+G408+G419</f>
        <v>813790.9</v>
      </c>
      <c r="H370" s="19">
        <f>H371+H389+H402+H408+H419</f>
        <v>812176.3</v>
      </c>
      <c r="I370" s="19">
        <f>I371+I389+I402+I408+I419</f>
        <v>804179.6000000001</v>
      </c>
      <c r="J370" s="37">
        <f>H370/F370*100</f>
        <v>98.83043988495324</v>
      </c>
    </row>
    <row r="371" spans="1:10" ht="15">
      <c r="A371" s="10" t="s">
        <v>133</v>
      </c>
      <c r="B371" s="11" t="s">
        <v>112</v>
      </c>
      <c r="C371" s="11" t="s">
        <v>106</v>
      </c>
      <c r="D371" s="11"/>
      <c r="E371" s="11"/>
      <c r="F371" s="19">
        <f>F372+F382</f>
        <v>98164.40000000002</v>
      </c>
      <c r="G371" s="19">
        <f>G372+G382</f>
        <v>91998.90000000002</v>
      </c>
      <c r="H371" s="19">
        <f>H372+H382</f>
        <v>97729.00000000001</v>
      </c>
      <c r="I371" s="19">
        <f>I372+I382</f>
        <v>91563.50000000001</v>
      </c>
      <c r="J371" s="37">
        <f>H371/F371*100</f>
        <v>99.55645834946273</v>
      </c>
    </row>
    <row r="372" spans="1:10" ht="14.25">
      <c r="A372" s="7" t="s">
        <v>183</v>
      </c>
      <c r="B372" s="8" t="s">
        <v>112</v>
      </c>
      <c r="C372" s="8" t="s">
        <v>106</v>
      </c>
      <c r="D372" s="8" t="s">
        <v>26</v>
      </c>
      <c r="E372" s="8"/>
      <c r="F372" s="20">
        <f>F373+F377+F381+F379+F375</f>
        <v>93654.30000000002</v>
      </c>
      <c r="G372" s="20">
        <f>G373+G377+G381+G379+G375</f>
        <v>87488.80000000002</v>
      </c>
      <c r="H372" s="20">
        <f>H373+H377+H381+H379+H375</f>
        <v>93218.90000000001</v>
      </c>
      <c r="I372" s="20">
        <f>I373+I377+I381+I379+I375</f>
        <v>87053.40000000001</v>
      </c>
      <c r="J372" s="20"/>
    </row>
    <row r="373" spans="1:10" ht="42.75">
      <c r="A373" s="6" t="s">
        <v>321</v>
      </c>
      <c r="B373" s="8" t="s">
        <v>112</v>
      </c>
      <c r="C373" s="8" t="s">
        <v>106</v>
      </c>
      <c r="D373" s="8" t="s">
        <v>322</v>
      </c>
      <c r="E373" s="8"/>
      <c r="F373" s="20">
        <f>F374</f>
        <v>83278.80000000002</v>
      </c>
      <c r="G373" s="20">
        <f>G374</f>
        <v>83278.80000000002</v>
      </c>
      <c r="H373" s="20">
        <f>H374</f>
        <v>83278.8</v>
      </c>
      <c r="I373" s="20">
        <f>I374</f>
        <v>83278.8</v>
      </c>
      <c r="J373" s="20"/>
    </row>
    <row r="374" spans="1:10" ht="14.25">
      <c r="A374" s="7" t="s">
        <v>306</v>
      </c>
      <c r="B374" s="8" t="s">
        <v>112</v>
      </c>
      <c r="C374" s="8" t="s">
        <v>106</v>
      </c>
      <c r="D374" s="8" t="s">
        <v>322</v>
      </c>
      <c r="E374" s="8" t="s">
        <v>303</v>
      </c>
      <c r="F374" s="20">
        <f>'Прилож №8'!G189</f>
        <v>83278.80000000002</v>
      </c>
      <c r="G374" s="20">
        <f>'Прилож №8'!H189</f>
        <v>83278.80000000002</v>
      </c>
      <c r="H374" s="20">
        <f>'Прилож №8'!I189</f>
        <v>83278.8</v>
      </c>
      <c r="I374" s="20">
        <f>'Прилож №8'!J189</f>
        <v>83278.8</v>
      </c>
      <c r="J374" s="20"/>
    </row>
    <row r="375" spans="1:10" ht="57">
      <c r="A375" s="6" t="s">
        <v>339</v>
      </c>
      <c r="B375" s="8" t="s">
        <v>112</v>
      </c>
      <c r="C375" s="8" t="s">
        <v>106</v>
      </c>
      <c r="D375" s="8" t="s">
        <v>338</v>
      </c>
      <c r="E375" s="8"/>
      <c r="F375" s="20">
        <f>F376</f>
        <v>1019.5</v>
      </c>
      <c r="G375" s="20">
        <f>G376</f>
        <v>952</v>
      </c>
      <c r="H375" s="20">
        <f>H376</f>
        <v>584.1</v>
      </c>
      <c r="I375" s="20">
        <f>I376</f>
        <v>516.6</v>
      </c>
      <c r="J375" s="20"/>
    </row>
    <row r="376" spans="1:10" ht="14.25">
      <c r="A376" s="7" t="s">
        <v>306</v>
      </c>
      <c r="B376" s="8" t="s">
        <v>112</v>
      </c>
      <c r="C376" s="8" t="s">
        <v>106</v>
      </c>
      <c r="D376" s="8" t="s">
        <v>338</v>
      </c>
      <c r="E376" s="8" t="s">
        <v>303</v>
      </c>
      <c r="F376" s="20">
        <f>'Прилож №8'!G191</f>
        <v>1019.5</v>
      </c>
      <c r="G376" s="20">
        <f>'Прилож №8'!H191</f>
        <v>952</v>
      </c>
      <c r="H376" s="20">
        <f>'Прилож №8'!I191</f>
        <v>584.1</v>
      </c>
      <c r="I376" s="20">
        <f>'Прилож №8'!J191</f>
        <v>516.6</v>
      </c>
      <c r="J376" s="20"/>
    </row>
    <row r="377" spans="1:10" ht="45.75" customHeight="1">
      <c r="A377" s="6" t="s">
        <v>330</v>
      </c>
      <c r="B377" s="8" t="s">
        <v>112</v>
      </c>
      <c r="C377" s="8" t="s">
        <v>106</v>
      </c>
      <c r="D377" s="8" t="s">
        <v>327</v>
      </c>
      <c r="E377" s="8"/>
      <c r="F377" s="20">
        <f>F378</f>
        <v>1758</v>
      </c>
      <c r="G377" s="20">
        <f>G378</f>
        <v>1758</v>
      </c>
      <c r="H377" s="20">
        <f>H378</f>
        <v>1758</v>
      </c>
      <c r="I377" s="20">
        <f>I378</f>
        <v>1758</v>
      </c>
      <c r="J377" s="20"/>
    </row>
    <row r="378" spans="1:10" ht="14.25">
      <c r="A378" s="7" t="s">
        <v>306</v>
      </c>
      <c r="B378" s="8" t="s">
        <v>112</v>
      </c>
      <c r="C378" s="8" t="s">
        <v>106</v>
      </c>
      <c r="D378" s="8" t="s">
        <v>327</v>
      </c>
      <c r="E378" s="8" t="s">
        <v>303</v>
      </c>
      <c r="F378" s="20">
        <f>'Прилож №8'!G193</f>
        <v>1758</v>
      </c>
      <c r="G378" s="20">
        <f>'Прилож №8'!H193</f>
        <v>1758</v>
      </c>
      <c r="H378" s="20">
        <f>'Прилож №8'!I193</f>
        <v>1758</v>
      </c>
      <c r="I378" s="20">
        <f>'Прилож №8'!J193</f>
        <v>1758</v>
      </c>
      <c r="J378" s="20"/>
    </row>
    <row r="379" spans="1:10" ht="42.75">
      <c r="A379" s="6" t="s">
        <v>341</v>
      </c>
      <c r="B379" s="8" t="s">
        <v>112</v>
      </c>
      <c r="C379" s="8" t="s">
        <v>106</v>
      </c>
      <c r="D379" s="8" t="s">
        <v>340</v>
      </c>
      <c r="E379" s="8"/>
      <c r="F379" s="20">
        <f>F380</f>
        <v>1500</v>
      </c>
      <c r="G379" s="20">
        <f>G380</f>
        <v>1500</v>
      </c>
      <c r="H379" s="20">
        <f>H380</f>
        <v>1500</v>
      </c>
      <c r="I379" s="20">
        <f>I380</f>
        <v>1500</v>
      </c>
      <c r="J379" s="20"/>
    </row>
    <row r="380" spans="1:10" ht="14.25">
      <c r="A380" s="7" t="s">
        <v>306</v>
      </c>
      <c r="B380" s="8" t="s">
        <v>112</v>
      </c>
      <c r="C380" s="8" t="s">
        <v>106</v>
      </c>
      <c r="D380" s="8" t="s">
        <v>340</v>
      </c>
      <c r="E380" s="8" t="s">
        <v>303</v>
      </c>
      <c r="F380" s="20">
        <f>'Прилож №8'!G195</f>
        <v>1500</v>
      </c>
      <c r="G380" s="20">
        <f>'Прилож №8'!H195</f>
        <v>1500</v>
      </c>
      <c r="H380" s="20">
        <f>'Прилож №8'!I195</f>
        <v>1500</v>
      </c>
      <c r="I380" s="20">
        <f>'Прилож №8'!J195</f>
        <v>1500</v>
      </c>
      <c r="J380" s="20"/>
    </row>
    <row r="381" spans="1:10" ht="14.25">
      <c r="A381" s="7" t="s">
        <v>147</v>
      </c>
      <c r="B381" s="8" t="s">
        <v>112</v>
      </c>
      <c r="C381" s="8" t="s">
        <v>106</v>
      </c>
      <c r="D381" s="8" t="s">
        <v>328</v>
      </c>
      <c r="E381" s="8" t="s">
        <v>148</v>
      </c>
      <c r="F381" s="20">
        <f>'Прилож №8'!G196</f>
        <v>6098</v>
      </c>
      <c r="G381" s="20">
        <f>'Прилож №8'!H196</f>
        <v>0</v>
      </c>
      <c r="H381" s="20">
        <f>'Прилож №8'!I196</f>
        <v>6098</v>
      </c>
      <c r="I381" s="20">
        <f>'Прилож №8'!J196</f>
        <v>0</v>
      </c>
      <c r="J381" s="20"/>
    </row>
    <row r="382" spans="1:10" ht="15">
      <c r="A382" s="10" t="s">
        <v>162</v>
      </c>
      <c r="B382" s="11" t="s">
        <v>112</v>
      </c>
      <c r="C382" s="11" t="s">
        <v>106</v>
      </c>
      <c r="D382" s="11" t="s">
        <v>163</v>
      </c>
      <c r="E382" s="11"/>
      <c r="F382" s="19">
        <f>F383+F385+F387</f>
        <v>4510.1</v>
      </c>
      <c r="G382" s="19">
        <f>G383+G385+G387</f>
        <v>4510.1</v>
      </c>
      <c r="H382" s="19">
        <f>H383+H385+H387</f>
        <v>4510.1</v>
      </c>
      <c r="I382" s="19">
        <f>I383+I385+I387</f>
        <v>4510.1</v>
      </c>
      <c r="J382" s="37">
        <f>H382/F382*100</f>
        <v>100</v>
      </c>
    </row>
    <row r="383" spans="1:10" ht="28.5">
      <c r="A383" s="6" t="s">
        <v>323</v>
      </c>
      <c r="B383" s="8" t="s">
        <v>112</v>
      </c>
      <c r="C383" s="8" t="s">
        <v>106</v>
      </c>
      <c r="D383" s="8" t="s">
        <v>324</v>
      </c>
      <c r="E383" s="8"/>
      <c r="F383" s="20">
        <f>F384</f>
        <v>4229.1</v>
      </c>
      <c r="G383" s="20">
        <f>G384</f>
        <v>4229.1</v>
      </c>
      <c r="H383" s="20">
        <f>H384</f>
        <v>4229.1</v>
      </c>
      <c r="I383" s="20">
        <f>I384</f>
        <v>4229.1</v>
      </c>
      <c r="J383" s="20"/>
    </row>
    <row r="384" spans="1:10" ht="14.25">
      <c r="A384" s="7" t="s">
        <v>306</v>
      </c>
      <c r="B384" s="8" t="s">
        <v>112</v>
      </c>
      <c r="C384" s="8" t="s">
        <v>106</v>
      </c>
      <c r="D384" s="8" t="s">
        <v>324</v>
      </c>
      <c r="E384" s="8" t="s">
        <v>303</v>
      </c>
      <c r="F384" s="20">
        <f>'Прилож №8'!G199</f>
        <v>4229.1</v>
      </c>
      <c r="G384" s="20">
        <f>'Прилож №8'!H199</f>
        <v>4229.1</v>
      </c>
      <c r="H384" s="20">
        <f>'Прилож №8'!I199</f>
        <v>4229.1</v>
      </c>
      <c r="I384" s="20">
        <f>'Прилож №8'!J199</f>
        <v>4229.1</v>
      </c>
      <c r="J384" s="20"/>
    </row>
    <row r="385" spans="1:10" ht="43.5">
      <c r="A385" s="6" t="s">
        <v>331</v>
      </c>
      <c r="B385" s="8" t="s">
        <v>112</v>
      </c>
      <c r="C385" s="8" t="s">
        <v>106</v>
      </c>
      <c r="D385" s="8" t="s">
        <v>329</v>
      </c>
      <c r="E385" s="8"/>
      <c r="F385" s="19">
        <f>F386</f>
        <v>181</v>
      </c>
      <c r="G385" s="19">
        <f>G386</f>
        <v>181</v>
      </c>
      <c r="H385" s="19">
        <f>H386</f>
        <v>181</v>
      </c>
      <c r="I385" s="19">
        <f>I386</f>
        <v>181</v>
      </c>
      <c r="J385" s="20"/>
    </row>
    <row r="386" spans="1:10" ht="14.25">
      <c r="A386" s="7" t="s">
        <v>306</v>
      </c>
      <c r="B386" s="8" t="s">
        <v>112</v>
      </c>
      <c r="C386" s="8" t="s">
        <v>106</v>
      </c>
      <c r="D386" s="8" t="s">
        <v>329</v>
      </c>
      <c r="E386" s="8" t="s">
        <v>303</v>
      </c>
      <c r="F386" s="20">
        <f>'Прилож №8'!G201</f>
        <v>181</v>
      </c>
      <c r="G386" s="20">
        <f>'Прилож №8'!H201</f>
        <v>181</v>
      </c>
      <c r="H386" s="20">
        <f>'Прилож №8'!I201</f>
        <v>181</v>
      </c>
      <c r="I386" s="20">
        <f>'Прилож №8'!J201</f>
        <v>181</v>
      </c>
      <c r="J386" s="20"/>
    </row>
    <row r="387" spans="1:10" ht="42.75">
      <c r="A387" s="6" t="s">
        <v>341</v>
      </c>
      <c r="B387" s="8" t="s">
        <v>112</v>
      </c>
      <c r="C387" s="8" t="s">
        <v>106</v>
      </c>
      <c r="D387" s="8" t="s">
        <v>342</v>
      </c>
      <c r="E387" s="8"/>
      <c r="F387" s="20">
        <f>F388</f>
        <v>100</v>
      </c>
      <c r="G387" s="20">
        <f>G388</f>
        <v>100</v>
      </c>
      <c r="H387" s="20">
        <f>H388</f>
        <v>100</v>
      </c>
      <c r="I387" s="20">
        <f>I388</f>
        <v>100</v>
      </c>
      <c r="J387" s="20"/>
    </row>
    <row r="388" spans="1:10" ht="14.25">
      <c r="A388" s="7" t="s">
        <v>306</v>
      </c>
      <c r="B388" s="8" t="s">
        <v>112</v>
      </c>
      <c r="C388" s="8" t="s">
        <v>106</v>
      </c>
      <c r="D388" s="8" t="s">
        <v>342</v>
      </c>
      <c r="E388" s="8" t="s">
        <v>303</v>
      </c>
      <c r="F388" s="20">
        <f>'Прилож №8'!G203</f>
        <v>100</v>
      </c>
      <c r="G388" s="20">
        <f>'Прилож №8'!H203</f>
        <v>100</v>
      </c>
      <c r="H388" s="20">
        <f>'Прилож №8'!I203</f>
        <v>100</v>
      </c>
      <c r="I388" s="20">
        <f>'Прилож №8'!J203</f>
        <v>100</v>
      </c>
      <c r="J388" s="20"/>
    </row>
    <row r="389" spans="1:11" s="18" customFormat="1" ht="15">
      <c r="A389" s="10" t="s">
        <v>164</v>
      </c>
      <c r="B389" s="11" t="s">
        <v>112</v>
      </c>
      <c r="C389" s="11" t="s">
        <v>107</v>
      </c>
      <c r="D389" s="11"/>
      <c r="E389" s="11"/>
      <c r="F389" s="19">
        <f>F390</f>
        <v>151477.1</v>
      </c>
      <c r="G389" s="19">
        <f>G390</f>
        <v>149734.4</v>
      </c>
      <c r="H389" s="19">
        <f>H390</f>
        <v>149843.8</v>
      </c>
      <c r="I389" s="19">
        <f>I390</f>
        <v>148101.1</v>
      </c>
      <c r="J389" s="37">
        <f>H389/F389*100</f>
        <v>98.92175120859852</v>
      </c>
      <c r="K389" s="32"/>
    </row>
    <row r="390" spans="1:11" s="18" customFormat="1" ht="15">
      <c r="A390" s="7" t="s">
        <v>165</v>
      </c>
      <c r="B390" s="8" t="s">
        <v>112</v>
      </c>
      <c r="C390" s="8" t="s">
        <v>107</v>
      </c>
      <c r="D390" s="8" t="s">
        <v>166</v>
      </c>
      <c r="E390" s="8"/>
      <c r="F390" s="20">
        <f>F393+F395+F399+F391+F397</f>
        <v>151477.1</v>
      </c>
      <c r="G390" s="20">
        <f>G393+G395+G399+G391+G397</f>
        <v>149734.4</v>
      </c>
      <c r="H390" s="20">
        <f>H393+H395+H399+H391+H397</f>
        <v>149843.8</v>
      </c>
      <c r="I390" s="20">
        <f>I393+I395+I399+I391+I397</f>
        <v>148101.1</v>
      </c>
      <c r="J390" s="19"/>
      <c r="K390" s="32"/>
    </row>
    <row r="391" spans="1:11" s="18" customFormat="1" ht="43.5">
      <c r="A391" s="6" t="s">
        <v>345</v>
      </c>
      <c r="B391" s="8" t="s">
        <v>112</v>
      </c>
      <c r="C391" s="8" t="s">
        <v>107</v>
      </c>
      <c r="D391" s="8" t="s">
        <v>344</v>
      </c>
      <c r="E391" s="8"/>
      <c r="F391" s="20">
        <f>F392</f>
        <v>10111.6</v>
      </c>
      <c r="G391" s="20">
        <f>G392</f>
        <v>10062</v>
      </c>
      <c r="H391" s="20">
        <f>H392</f>
        <v>8478.3</v>
      </c>
      <c r="I391" s="20">
        <f>I392</f>
        <v>8428.7</v>
      </c>
      <c r="J391" s="19"/>
      <c r="K391" s="32"/>
    </row>
    <row r="392" spans="1:11" s="18" customFormat="1" ht="15">
      <c r="A392" s="7" t="s">
        <v>306</v>
      </c>
      <c r="B392" s="8" t="s">
        <v>112</v>
      </c>
      <c r="C392" s="8" t="s">
        <v>107</v>
      </c>
      <c r="D392" s="8" t="s">
        <v>344</v>
      </c>
      <c r="E392" s="8" t="s">
        <v>303</v>
      </c>
      <c r="F392" s="20">
        <f>'Прилож №8'!G207</f>
        <v>10111.6</v>
      </c>
      <c r="G392" s="20">
        <f>'Прилож №8'!H207</f>
        <v>10062</v>
      </c>
      <c r="H392" s="20">
        <f>'Прилож №8'!I207</f>
        <v>8478.3</v>
      </c>
      <c r="I392" s="20">
        <f>'Прилож №8'!J207</f>
        <v>8428.7</v>
      </c>
      <c r="J392" s="19"/>
      <c r="K392" s="32"/>
    </row>
    <row r="393" spans="1:11" s="18" customFormat="1" ht="43.5">
      <c r="A393" s="6" t="s">
        <v>333</v>
      </c>
      <c r="B393" s="8" t="s">
        <v>112</v>
      </c>
      <c r="C393" s="8" t="s">
        <v>107</v>
      </c>
      <c r="D393" s="8" t="s">
        <v>325</v>
      </c>
      <c r="E393" s="8"/>
      <c r="F393" s="20">
        <f>F394</f>
        <v>131403.6</v>
      </c>
      <c r="G393" s="20">
        <f>G394</f>
        <v>131403.6</v>
      </c>
      <c r="H393" s="20">
        <f>H394</f>
        <v>131403.6</v>
      </c>
      <c r="I393" s="20">
        <f>I394</f>
        <v>131403.6</v>
      </c>
      <c r="J393" s="19"/>
      <c r="K393" s="32"/>
    </row>
    <row r="394" spans="1:11" s="18" customFormat="1" ht="15">
      <c r="A394" s="7" t="s">
        <v>306</v>
      </c>
      <c r="B394" s="8" t="s">
        <v>112</v>
      </c>
      <c r="C394" s="8" t="s">
        <v>107</v>
      </c>
      <c r="D394" s="8" t="s">
        <v>325</v>
      </c>
      <c r="E394" s="8" t="s">
        <v>303</v>
      </c>
      <c r="F394" s="20">
        <f>'Прилож №8'!G208</f>
        <v>131403.6</v>
      </c>
      <c r="G394" s="20">
        <f>'Прилож №8'!H208</f>
        <v>131403.6</v>
      </c>
      <c r="H394" s="20">
        <f>'Прилож №8'!I208</f>
        <v>131403.6</v>
      </c>
      <c r="I394" s="20">
        <f>'Прилож №8'!J208</f>
        <v>131403.6</v>
      </c>
      <c r="J394" s="19"/>
      <c r="K394" s="32"/>
    </row>
    <row r="395" spans="1:11" s="18" customFormat="1" ht="42.75" customHeight="1">
      <c r="A395" s="6" t="s">
        <v>326</v>
      </c>
      <c r="B395" s="8" t="s">
        <v>112</v>
      </c>
      <c r="C395" s="8" t="s">
        <v>107</v>
      </c>
      <c r="D395" s="8" t="s">
        <v>332</v>
      </c>
      <c r="E395" s="8"/>
      <c r="F395" s="20">
        <f>F396</f>
        <v>5602.8</v>
      </c>
      <c r="G395" s="20">
        <f>G396</f>
        <v>5602.8</v>
      </c>
      <c r="H395" s="20">
        <f>H396</f>
        <v>5602.8</v>
      </c>
      <c r="I395" s="20">
        <f>I396</f>
        <v>5602.8</v>
      </c>
      <c r="J395" s="19"/>
      <c r="K395" s="32"/>
    </row>
    <row r="396" spans="1:11" s="18" customFormat="1" ht="15">
      <c r="A396" s="7" t="s">
        <v>306</v>
      </c>
      <c r="B396" s="8" t="s">
        <v>112</v>
      </c>
      <c r="C396" s="8" t="s">
        <v>107</v>
      </c>
      <c r="D396" s="8" t="s">
        <v>332</v>
      </c>
      <c r="E396" s="8" t="s">
        <v>303</v>
      </c>
      <c r="F396" s="20">
        <f>'Прилож №8'!G210</f>
        <v>5602.8</v>
      </c>
      <c r="G396" s="20">
        <f>'Прилож №8'!H210</f>
        <v>5602.8</v>
      </c>
      <c r="H396" s="20">
        <f>'Прилож №8'!I210</f>
        <v>5602.8</v>
      </c>
      <c r="I396" s="20">
        <f>'Прилож №8'!J210</f>
        <v>5602.8</v>
      </c>
      <c r="J396" s="19"/>
      <c r="K396" s="32"/>
    </row>
    <row r="397" spans="1:11" s="18" customFormat="1" ht="43.5">
      <c r="A397" s="6" t="s">
        <v>347</v>
      </c>
      <c r="B397" s="8" t="s">
        <v>112</v>
      </c>
      <c r="C397" s="8" t="s">
        <v>107</v>
      </c>
      <c r="D397" s="8" t="s">
        <v>346</v>
      </c>
      <c r="E397" s="8"/>
      <c r="F397" s="20">
        <f>F398</f>
        <v>2666</v>
      </c>
      <c r="G397" s="20">
        <f>G398</f>
        <v>2666</v>
      </c>
      <c r="H397" s="20">
        <f>H398</f>
        <v>2666</v>
      </c>
      <c r="I397" s="20">
        <f>I398</f>
        <v>2666</v>
      </c>
      <c r="J397" s="19"/>
      <c r="K397" s="32"/>
    </row>
    <row r="398" spans="1:11" s="18" customFormat="1" ht="15">
      <c r="A398" s="7" t="s">
        <v>306</v>
      </c>
      <c r="B398" s="8" t="s">
        <v>112</v>
      </c>
      <c r="C398" s="8" t="s">
        <v>107</v>
      </c>
      <c r="D398" s="8" t="s">
        <v>346</v>
      </c>
      <c r="E398" s="8" t="s">
        <v>303</v>
      </c>
      <c r="F398" s="20">
        <f>'Прилож №8'!G212</f>
        <v>2666</v>
      </c>
      <c r="G398" s="20">
        <f>'Прилож №8'!H212</f>
        <v>2666</v>
      </c>
      <c r="H398" s="20">
        <f>'Прилож №8'!I212</f>
        <v>2666</v>
      </c>
      <c r="I398" s="20">
        <f>'Прилож №8'!J212</f>
        <v>2666</v>
      </c>
      <c r="J398" s="19"/>
      <c r="K398" s="32"/>
    </row>
    <row r="399" spans="1:10" ht="14.25">
      <c r="A399" s="7" t="s">
        <v>14</v>
      </c>
      <c r="B399" s="8" t="s">
        <v>112</v>
      </c>
      <c r="C399" s="8" t="s">
        <v>107</v>
      </c>
      <c r="D399" s="8" t="s">
        <v>167</v>
      </c>
      <c r="E399" s="8"/>
      <c r="F399" s="20">
        <f>F401+F400</f>
        <v>1693.1</v>
      </c>
      <c r="G399" s="20">
        <f>G401+G400</f>
        <v>0</v>
      </c>
      <c r="H399" s="20">
        <f>H401+H400</f>
        <v>1693.1</v>
      </c>
      <c r="I399" s="20">
        <f>I401+I400</f>
        <v>0</v>
      </c>
      <c r="J399" s="20"/>
    </row>
    <row r="400" spans="1:10" ht="14.25">
      <c r="A400" s="7" t="s">
        <v>88</v>
      </c>
      <c r="B400" s="8" t="s">
        <v>112</v>
      </c>
      <c r="C400" s="8" t="s">
        <v>107</v>
      </c>
      <c r="D400" s="8" t="s">
        <v>167</v>
      </c>
      <c r="E400" s="8" t="s">
        <v>76</v>
      </c>
      <c r="F400" s="20">
        <f>'Прилож №8'!G214</f>
        <v>28.1</v>
      </c>
      <c r="G400" s="20">
        <f>'Прилож №8'!H214</f>
        <v>0</v>
      </c>
      <c r="H400" s="20">
        <f>'Прилож №8'!I214</f>
        <v>28.1</v>
      </c>
      <c r="I400" s="20">
        <f>'Прилож №8'!J214</f>
        <v>0</v>
      </c>
      <c r="J400" s="20"/>
    </row>
    <row r="401" spans="1:10" ht="14.25">
      <c r="A401" s="7" t="s">
        <v>147</v>
      </c>
      <c r="B401" s="8" t="s">
        <v>112</v>
      </c>
      <c r="C401" s="8" t="s">
        <v>107</v>
      </c>
      <c r="D401" s="8" t="s">
        <v>167</v>
      </c>
      <c r="E401" s="8" t="s">
        <v>303</v>
      </c>
      <c r="F401" s="20">
        <f>'Прилож №8'!G215</f>
        <v>1665</v>
      </c>
      <c r="G401" s="20">
        <f>'Прилож №8'!H215</f>
        <v>0</v>
      </c>
      <c r="H401" s="20">
        <f>'Прилож №8'!I215</f>
        <v>1665</v>
      </c>
      <c r="I401" s="20">
        <f>'Прилож №8'!J215</f>
        <v>0</v>
      </c>
      <c r="J401" s="20"/>
    </row>
    <row r="402" spans="1:11" s="18" customFormat="1" ht="15">
      <c r="A402" s="10" t="s">
        <v>168</v>
      </c>
      <c r="B402" s="11" t="s">
        <v>112</v>
      </c>
      <c r="C402" s="11" t="s">
        <v>111</v>
      </c>
      <c r="D402" s="11"/>
      <c r="E402" s="11"/>
      <c r="F402" s="19">
        <f>F404+F406</f>
        <v>990.6000000000001</v>
      </c>
      <c r="G402" s="19">
        <f>G404+G406</f>
        <v>990.6000000000001</v>
      </c>
      <c r="H402" s="19">
        <f>H404+H406</f>
        <v>990.6</v>
      </c>
      <c r="I402" s="19">
        <f>I404+I406</f>
        <v>990.6</v>
      </c>
      <c r="J402" s="37">
        <f>H402/F402*100</f>
        <v>99.99999999999999</v>
      </c>
      <c r="K402" s="32"/>
    </row>
    <row r="403" spans="1:11" s="18" customFormat="1" ht="15">
      <c r="A403" s="7" t="s">
        <v>183</v>
      </c>
      <c r="B403" s="8" t="s">
        <v>112</v>
      </c>
      <c r="C403" s="8" t="s">
        <v>111</v>
      </c>
      <c r="D403" s="8" t="s">
        <v>26</v>
      </c>
      <c r="E403" s="11"/>
      <c r="F403" s="20">
        <f>F404+F406</f>
        <v>990.6000000000001</v>
      </c>
      <c r="G403" s="20">
        <f>G404+G406</f>
        <v>990.6000000000001</v>
      </c>
      <c r="H403" s="20">
        <f>H404+H406</f>
        <v>990.6</v>
      </c>
      <c r="I403" s="20">
        <f>I404+I406</f>
        <v>990.6</v>
      </c>
      <c r="J403" s="19"/>
      <c r="K403" s="32"/>
    </row>
    <row r="404" spans="1:11" s="18" customFormat="1" ht="43.5">
      <c r="A404" s="6" t="s">
        <v>321</v>
      </c>
      <c r="B404" s="8" t="s">
        <v>112</v>
      </c>
      <c r="C404" s="8" t="s">
        <v>111</v>
      </c>
      <c r="D404" s="8" t="s">
        <v>322</v>
      </c>
      <c r="E404" s="11"/>
      <c r="F404" s="20">
        <f>F405</f>
        <v>990.4000000000001</v>
      </c>
      <c r="G404" s="20">
        <f>G405</f>
        <v>990.4000000000001</v>
      </c>
      <c r="H404" s="20">
        <f>H405</f>
        <v>990.4</v>
      </c>
      <c r="I404" s="20">
        <f>I405</f>
        <v>990.4</v>
      </c>
      <c r="J404" s="19"/>
      <c r="K404" s="32"/>
    </row>
    <row r="405" spans="1:11" s="18" customFormat="1" ht="15">
      <c r="A405" s="7" t="s">
        <v>306</v>
      </c>
      <c r="B405" s="8" t="s">
        <v>112</v>
      </c>
      <c r="C405" s="8" t="s">
        <v>111</v>
      </c>
      <c r="D405" s="8" t="s">
        <v>322</v>
      </c>
      <c r="E405" s="8" t="s">
        <v>303</v>
      </c>
      <c r="F405" s="20">
        <f>'Прилож №8'!G219</f>
        <v>990.4000000000001</v>
      </c>
      <c r="G405" s="20">
        <f>'Прилож №8'!H219</f>
        <v>990.4000000000001</v>
      </c>
      <c r="H405" s="20">
        <f>'Прилож №8'!I219</f>
        <v>990.4</v>
      </c>
      <c r="I405" s="20">
        <f>'Прилож №8'!J219</f>
        <v>990.4</v>
      </c>
      <c r="J405" s="19"/>
      <c r="K405" s="32"/>
    </row>
    <row r="406" spans="1:11" s="18" customFormat="1" ht="46.5" customHeight="1">
      <c r="A406" s="6" t="s">
        <v>330</v>
      </c>
      <c r="B406" s="8" t="s">
        <v>112</v>
      </c>
      <c r="C406" s="8" t="s">
        <v>111</v>
      </c>
      <c r="D406" s="8" t="s">
        <v>327</v>
      </c>
      <c r="E406" s="8"/>
      <c r="F406" s="20">
        <f>F407</f>
        <v>0.2</v>
      </c>
      <c r="G406" s="20">
        <f>G407</f>
        <v>0.2</v>
      </c>
      <c r="H406" s="20">
        <f>H407</f>
        <v>0.2</v>
      </c>
      <c r="I406" s="20">
        <f>I407</f>
        <v>0.2</v>
      </c>
      <c r="J406" s="19"/>
      <c r="K406" s="32"/>
    </row>
    <row r="407" spans="1:11" s="18" customFormat="1" ht="15">
      <c r="A407" s="7" t="s">
        <v>306</v>
      </c>
      <c r="B407" s="8" t="s">
        <v>112</v>
      </c>
      <c r="C407" s="8" t="s">
        <v>111</v>
      </c>
      <c r="D407" s="8" t="s">
        <v>327</v>
      </c>
      <c r="E407" s="8" t="s">
        <v>303</v>
      </c>
      <c r="F407" s="20">
        <f>'Прилож №8'!G221</f>
        <v>0.2</v>
      </c>
      <c r="G407" s="20">
        <f>'Прилож №8'!H221</f>
        <v>0.2</v>
      </c>
      <c r="H407" s="20">
        <f>'Прилож №8'!I221</f>
        <v>0.2</v>
      </c>
      <c r="I407" s="20">
        <f>'Прилож №8'!J221</f>
        <v>0.2</v>
      </c>
      <c r="J407" s="19"/>
      <c r="K407" s="32"/>
    </row>
    <row r="408" spans="1:11" s="18" customFormat="1" ht="15">
      <c r="A408" s="10" t="s">
        <v>169</v>
      </c>
      <c r="B408" s="11" t="s">
        <v>112</v>
      </c>
      <c r="C408" s="11" t="s">
        <v>108</v>
      </c>
      <c r="D408" s="11"/>
      <c r="E408" s="8"/>
      <c r="F408" s="19">
        <f>F409+F416</f>
        <v>64367.100000000006</v>
      </c>
      <c r="G408" s="19">
        <f>G409+G416</f>
        <v>64367.100000000006</v>
      </c>
      <c r="H408" s="19">
        <f>H409+H416</f>
        <v>64106.1</v>
      </c>
      <c r="I408" s="19">
        <f>I409+I416</f>
        <v>64106.1</v>
      </c>
      <c r="J408" s="37">
        <f>H408/F408*100</f>
        <v>99.59451334610382</v>
      </c>
      <c r="K408" s="32"/>
    </row>
    <row r="409" spans="1:11" s="18" customFormat="1" ht="15">
      <c r="A409" s="7" t="s">
        <v>170</v>
      </c>
      <c r="B409" s="8" t="s">
        <v>112</v>
      </c>
      <c r="C409" s="8" t="s">
        <v>108</v>
      </c>
      <c r="D409" s="8" t="s">
        <v>171</v>
      </c>
      <c r="E409" s="8"/>
      <c r="F409" s="20">
        <f>F410+F412+F415</f>
        <v>61321.100000000006</v>
      </c>
      <c r="G409" s="20">
        <f>G410+G412+G415</f>
        <v>61321.100000000006</v>
      </c>
      <c r="H409" s="20">
        <f>H410+H412+H415</f>
        <v>61321.1</v>
      </c>
      <c r="I409" s="20">
        <f>I410+I412+I415</f>
        <v>61321.1</v>
      </c>
      <c r="J409" s="19"/>
      <c r="K409" s="32"/>
    </row>
    <row r="410" spans="1:11" s="18" customFormat="1" ht="29.25">
      <c r="A410" s="6" t="s">
        <v>335</v>
      </c>
      <c r="B410" s="8" t="s">
        <v>112</v>
      </c>
      <c r="C410" s="8" t="s">
        <v>108</v>
      </c>
      <c r="D410" s="8" t="s">
        <v>334</v>
      </c>
      <c r="E410" s="8"/>
      <c r="F410" s="20">
        <f>F411</f>
        <v>60743.100000000006</v>
      </c>
      <c r="G410" s="20">
        <f>G411</f>
        <v>60743.100000000006</v>
      </c>
      <c r="H410" s="20">
        <f>H411</f>
        <v>60743.1</v>
      </c>
      <c r="I410" s="20">
        <f>I411</f>
        <v>60743.1</v>
      </c>
      <c r="J410" s="19"/>
      <c r="K410" s="32"/>
    </row>
    <row r="411" spans="1:11" s="18" customFormat="1" ht="15">
      <c r="A411" s="7" t="s">
        <v>306</v>
      </c>
      <c r="B411" s="8" t="s">
        <v>112</v>
      </c>
      <c r="C411" s="8" t="s">
        <v>108</v>
      </c>
      <c r="D411" s="8" t="s">
        <v>334</v>
      </c>
      <c r="E411" s="8" t="s">
        <v>303</v>
      </c>
      <c r="F411" s="20">
        <f>'Прилож №8'!G225</f>
        <v>60743.100000000006</v>
      </c>
      <c r="G411" s="20">
        <f>'Прилож №8'!H225</f>
        <v>60743.100000000006</v>
      </c>
      <c r="H411" s="20">
        <f>'Прилож №8'!I225</f>
        <v>60743.1</v>
      </c>
      <c r="I411" s="20">
        <f>'Прилож №8'!J225</f>
        <v>60743.1</v>
      </c>
      <c r="J411" s="19"/>
      <c r="K411" s="32"/>
    </row>
    <row r="412" spans="1:11" s="18" customFormat="1" ht="43.5">
      <c r="A412" s="6" t="s">
        <v>336</v>
      </c>
      <c r="B412" s="8" t="s">
        <v>112</v>
      </c>
      <c r="C412" s="8" t="s">
        <v>108</v>
      </c>
      <c r="D412" s="8" t="s">
        <v>337</v>
      </c>
      <c r="E412" s="8"/>
      <c r="F412" s="20">
        <f>F413</f>
        <v>48</v>
      </c>
      <c r="G412" s="20">
        <f>G413</f>
        <v>48</v>
      </c>
      <c r="H412" s="20">
        <f>H413</f>
        <v>48</v>
      </c>
      <c r="I412" s="20">
        <f>I413</f>
        <v>48</v>
      </c>
      <c r="J412" s="19"/>
      <c r="K412" s="32"/>
    </row>
    <row r="413" spans="1:10" ht="14.25">
      <c r="A413" s="7" t="s">
        <v>306</v>
      </c>
      <c r="B413" s="8" t="s">
        <v>112</v>
      </c>
      <c r="C413" s="8" t="s">
        <v>108</v>
      </c>
      <c r="D413" s="8" t="s">
        <v>337</v>
      </c>
      <c r="E413" s="8" t="s">
        <v>303</v>
      </c>
      <c r="F413" s="20">
        <f>'Прилож №8'!G227</f>
        <v>48</v>
      </c>
      <c r="G413" s="20">
        <f>'Прилож №8'!H227</f>
        <v>48</v>
      </c>
      <c r="H413" s="20">
        <f>'Прилож №8'!I227</f>
        <v>48</v>
      </c>
      <c r="I413" s="20">
        <f>'Прилож №8'!J227</f>
        <v>48</v>
      </c>
      <c r="J413" s="20"/>
    </row>
    <row r="414" spans="1:10" ht="28.5">
      <c r="A414" s="6" t="s">
        <v>349</v>
      </c>
      <c r="B414" s="8" t="s">
        <v>112</v>
      </c>
      <c r="C414" s="8" t="s">
        <v>108</v>
      </c>
      <c r="D414" s="8" t="s">
        <v>348</v>
      </c>
      <c r="E414" s="8"/>
      <c r="F414" s="20">
        <f>F415</f>
        <v>530</v>
      </c>
      <c r="G414" s="20">
        <f>G415</f>
        <v>530</v>
      </c>
      <c r="H414" s="20">
        <f>H415</f>
        <v>530</v>
      </c>
      <c r="I414" s="20">
        <f>I415</f>
        <v>530</v>
      </c>
      <c r="J414" s="20"/>
    </row>
    <row r="415" spans="1:10" ht="14.25">
      <c r="A415" s="7" t="s">
        <v>306</v>
      </c>
      <c r="B415" s="8" t="s">
        <v>112</v>
      </c>
      <c r="C415" s="8" t="s">
        <v>108</v>
      </c>
      <c r="D415" s="8" t="s">
        <v>348</v>
      </c>
      <c r="E415" s="8" t="s">
        <v>303</v>
      </c>
      <c r="F415" s="20">
        <f>'Прилож №8'!G229</f>
        <v>530</v>
      </c>
      <c r="G415" s="20">
        <f>'Прилож №8'!H229</f>
        <v>530</v>
      </c>
      <c r="H415" s="20">
        <f>'Прилож №8'!I229</f>
        <v>530</v>
      </c>
      <c r="I415" s="20">
        <f>'Прилож №8'!J229</f>
        <v>530</v>
      </c>
      <c r="J415" s="20"/>
    </row>
    <row r="416" spans="1:10" ht="14.25">
      <c r="A416" s="7" t="s">
        <v>74</v>
      </c>
      <c r="B416" s="8" t="s">
        <v>112</v>
      </c>
      <c r="C416" s="8" t="s">
        <v>108</v>
      </c>
      <c r="D416" s="8" t="s">
        <v>58</v>
      </c>
      <c r="E416" s="8"/>
      <c r="F416" s="20">
        <f aca="true" t="shared" si="29" ref="F416:I417">F417</f>
        <v>3046</v>
      </c>
      <c r="G416" s="20">
        <f t="shared" si="29"/>
        <v>3046</v>
      </c>
      <c r="H416" s="20">
        <f t="shared" si="29"/>
        <v>2785</v>
      </c>
      <c r="I416" s="20">
        <f t="shared" si="29"/>
        <v>2785</v>
      </c>
      <c r="J416" s="20"/>
    </row>
    <row r="417" spans="1:10" ht="42.75">
      <c r="A417" s="6" t="s">
        <v>172</v>
      </c>
      <c r="B417" s="8" t="s">
        <v>112</v>
      </c>
      <c r="C417" s="8" t="s">
        <v>108</v>
      </c>
      <c r="D417" s="8" t="s">
        <v>152</v>
      </c>
      <c r="E417" s="8"/>
      <c r="F417" s="20">
        <f t="shared" si="29"/>
        <v>3046</v>
      </c>
      <c r="G417" s="20">
        <f t="shared" si="29"/>
        <v>3046</v>
      </c>
      <c r="H417" s="20">
        <f t="shared" si="29"/>
        <v>2785</v>
      </c>
      <c r="I417" s="20">
        <f t="shared" si="29"/>
        <v>2785</v>
      </c>
      <c r="J417" s="20"/>
    </row>
    <row r="418" spans="1:10" ht="14.25">
      <c r="A418" s="7" t="s">
        <v>306</v>
      </c>
      <c r="B418" s="8" t="s">
        <v>112</v>
      </c>
      <c r="C418" s="8" t="s">
        <v>108</v>
      </c>
      <c r="D418" s="8" t="s">
        <v>152</v>
      </c>
      <c r="E418" s="8" t="s">
        <v>303</v>
      </c>
      <c r="F418" s="20">
        <f>'Прилож №8'!G232</f>
        <v>3046</v>
      </c>
      <c r="G418" s="20">
        <f>'Прилож №8'!H232</f>
        <v>3046</v>
      </c>
      <c r="H418" s="20">
        <f>'Прилож №8'!I232</f>
        <v>2785</v>
      </c>
      <c r="I418" s="20">
        <f>'Прилож №8'!J232</f>
        <v>2785</v>
      </c>
      <c r="J418" s="20"/>
    </row>
    <row r="419" spans="1:10" ht="15">
      <c r="A419" s="10" t="s">
        <v>384</v>
      </c>
      <c r="B419" s="8" t="s">
        <v>112</v>
      </c>
      <c r="C419" s="8" t="s">
        <v>112</v>
      </c>
      <c r="D419" s="8"/>
      <c r="E419" s="8"/>
      <c r="F419" s="20">
        <f>F421</f>
        <v>506788.4</v>
      </c>
      <c r="G419" s="20">
        <f>G421</f>
        <v>506699.9</v>
      </c>
      <c r="H419" s="20">
        <f>H421</f>
        <v>499506.80000000005</v>
      </c>
      <c r="I419" s="20">
        <f>I421</f>
        <v>499418.30000000005</v>
      </c>
      <c r="J419" s="20"/>
    </row>
    <row r="420" spans="1:10" ht="14.25">
      <c r="A420" s="7" t="s">
        <v>219</v>
      </c>
      <c r="B420" s="8" t="s">
        <v>112</v>
      </c>
      <c r="C420" s="8" t="s">
        <v>112</v>
      </c>
      <c r="D420" s="8" t="s">
        <v>218</v>
      </c>
      <c r="E420" s="8"/>
      <c r="F420" s="20">
        <f>F421</f>
        <v>506788.4</v>
      </c>
      <c r="G420" s="20">
        <f>G421</f>
        <v>506699.9</v>
      </c>
      <c r="H420" s="20">
        <f>H421</f>
        <v>499506.80000000005</v>
      </c>
      <c r="I420" s="20">
        <f>I421</f>
        <v>499418.30000000005</v>
      </c>
      <c r="J420" s="20"/>
    </row>
    <row r="421" spans="1:10" ht="42.75">
      <c r="A421" s="6" t="s">
        <v>382</v>
      </c>
      <c r="B421" s="8" t="s">
        <v>112</v>
      </c>
      <c r="C421" s="8" t="s">
        <v>112</v>
      </c>
      <c r="D421" s="8" t="s">
        <v>381</v>
      </c>
      <c r="E421" s="8"/>
      <c r="F421" s="20">
        <f>F424+F422</f>
        <v>506788.4</v>
      </c>
      <c r="G421" s="20">
        <f>G424+G422</f>
        <v>506699.9</v>
      </c>
      <c r="H421" s="20">
        <f>H424+H422</f>
        <v>499506.80000000005</v>
      </c>
      <c r="I421" s="20">
        <f>I424+I422</f>
        <v>499418.30000000005</v>
      </c>
      <c r="J421" s="20"/>
    </row>
    <row r="422" spans="1:10" ht="42.75">
      <c r="A422" s="6" t="s">
        <v>451</v>
      </c>
      <c r="B422" s="8" t="s">
        <v>112</v>
      </c>
      <c r="C422" s="8" t="s">
        <v>112</v>
      </c>
      <c r="D422" s="8" t="s">
        <v>450</v>
      </c>
      <c r="E422" s="8"/>
      <c r="F422" s="20">
        <f>F423</f>
        <v>231980</v>
      </c>
      <c r="G422" s="20">
        <f>G423</f>
        <v>231980</v>
      </c>
      <c r="H422" s="20">
        <f>H423</f>
        <v>231967.6</v>
      </c>
      <c r="I422" s="20">
        <f>I423</f>
        <v>231967.6</v>
      </c>
      <c r="J422" s="20"/>
    </row>
    <row r="423" spans="1:10" ht="14.25">
      <c r="A423" s="7" t="s">
        <v>306</v>
      </c>
      <c r="B423" s="8" t="s">
        <v>112</v>
      </c>
      <c r="C423" s="8" t="s">
        <v>112</v>
      </c>
      <c r="D423" s="8" t="s">
        <v>450</v>
      </c>
      <c r="E423" s="8" t="s">
        <v>303</v>
      </c>
      <c r="F423" s="20">
        <f>'Прилож №8'!G237</f>
        <v>231980</v>
      </c>
      <c r="G423" s="20">
        <f>'Прилож №8'!H237</f>
        <v>231980</v>
      </c>
      <c r="H423" s="20">
        <f>'Прилож №8'!I237</f>
        <v>231967.6</v>
      </c>
      <c r="I423" s="20">
        <f>'Прилож №8'!J237</f>
        <v>231967.6</v>
      </c>
      <c r="J423" s="20"/>
    </row>
    <row r="424" spans="1:10" ht="28.5">
      <c r="A424" s="6" t="s">
        <v>383</v>
      </c>
      <c r="B424" s="8" t="s">
        <v>112</v>
      </c>
      <c r="C424" s="8" t="s">
        <v>112</v>
      </c>
      <c r="D424" s="8" t="s">
        <v>380</v>
      </c>
      <c r="E424" s="8"/>
      <c r="F424" s="20">
        <f>F425</f>
        <v>274808.4</v>
      </c>
      <c r="G424" s="20">
        <f>G425</f>
        <v>274719.9</v>
      </c>
      <c r="H424" s="20">
        <f>H425</f>
        <v>267539.2</v>
      </c>
      <c r="I424" s="20">
        <f>I425</f>
        <v>267450.7</v>
      </c>
      <c r="J424" s="20"/>
    </row>
    <row r="425" spans="1:10" ht="14.25">
      <c r="A425" s="7" t="s">
        <v>306</v>
      </c>
      <c r="B425" s="8" t="s">
        <v>112</v>
      </c>
      <c r="C425" s="8" t="s">
        <v>112</v>
      </c>
      <c r="D425" s="8" t="s">
        <v>380</v>
      </c>
      <c r="E425" s="9" t="s">
        <v>303</v>
      </c>
      <c r="F425" s="20">
        <f>'Прилож №8'!G239</f>
        <v>274808.4</v>
      </c>
      <c r="G425" s="20">
        <f>'Прилож №8'!H239</f>
        <v>274719.9</v>
      </c>
      <c r="H425" s="20">
        <f>'Прилож №8'!I239</f>
        <v>267539.2</v>
      </c>
      <c r="I425" s="20">
        <f>'Прилож №8'!J239</f>
        <v>267450.7</v>
      </c>
      <c r="J425" s="20"/>
    </row>
    <row r="426" spans="1:10" ht="15">
      <c r="A426" s="10" t="s">
        <v>1</v>
      </c>
      <c r="B426" s="11" t="s">
        <v>113</v>
      </c>
      <c r="C426" s="11"/>
      <c r="D426" s="11"/>
      <c r="E426" s="11"/>
      <c r="F426" s="19">
        <f>F427+F431+F455+F462</f>
        <v>82433.6</v>
      </c>
      <c r="G426" s="19">
        <f>G427+G431+G455+G462</f>
        <v>64617.1</v>
      </c>
      <c r="H426" s="19">
        <f>H427+H431+H455+H462</f>
        <v>59010.4</v>
      </c>
      <c r="I426" s="19">
        <f>I427+I431+I455+I462</f>
        <v>51201</v>
      </c>
      <c r="J426" s="37">
        <f>H426/F426*100</f>
        <v>71.58537295471749</v>
      </c>
    </row>
    <row r="427" spans="1:10" ht="15">
      <c r="A427" s="10" t="s">
        <v>29</v>
      </c>
      <c r="B427" s="11" t="s">
        <v>113</v>
      </c>
      <c r="C427" s="11" t="s">
        <v>106</v>
      </c>
      <c r="D427" s="11"/>
      <c r="E427" s="11"/>
      <c r="F427" s="19">
        <f>F428</f>
        <v>1375.4</v>
      </c>
      <c r="G427" s="19">
        <f>G428</f>
        <v>0</v>
      </c>
      <c r="H427" s="19">
        <f>H428</f>
        <v>1275.8</v>
      </c>
      <c r="I427" s="19">
        <f>I428</f>
        <v>0</v>
      </c>
      <c r="J427" s="20"/>
    </row>
    <row r="428" spans="1:10" ht="14.25">
      <c r="A428" s="7" t="s">
        <v>136</v>
      </c>
      <c r="B428" s="8" t="s">
        <v>113</v>
      </c>
      <c r="C428" s="8" t="s">
        <v>106</v>
      </c>
      <c r="D428" s="8" t="s">
        <v>137</v>
      </c>
      <c r="E428" s="8"/>
      <c r="F428" s="20">
        <f>F429</f>
        <v>1375.4</v>
      </c>
      <c r="G428" s="20">
        <f aca="true" t="shared" si="30" ref="G428:I429">G429</f>
        <v>0</v>
      </c>
      <c r="H428" s="20">
        <f t="shared" si="30"/>
        <v>1275.8</v>
      </c>
      <c r="I428" s="20">
        <f t="shared" si="30"/>
        <v>0</v>
      </c>
      <c r="J428" s="20"/>
    </row>
    <row r="429" spans="1:10" ht="28.5">
      <c r="A429" s="6" t="s">
        <v>70</v>
      </c>
      <c r="B429" s="8" t="s">
        <v>113</v>
      </c>
      <c r="C429" s="8" t="s">
        <v>106</v>
      </c>
      <c r="D429" s="8" t="s">
        <v>138</v>
      </c>
      <c r="E429" s="8"/>
      <c r="F429" s="20">
        <f>F430</f>
        <v>1375.4</v>
      </c>
      <c r="G429" s="20">
        <f t="shared" si="30"/>
        <v>0</v>
      </c>
      <c r="H429" s="20">
        <f t="shared" si="30"/>
        <v>1275.8</v>
      </c>
      <c r="I429" s="20">
        <f t="shared" si="30"/>
        <v>0</v>
      </c>
      <c r="J429" s="20"/>
    </row>
    <row r="430" spans="1:10" ht="14.25">
      <c r="A430" s="6" t="s">
        <v>92</v>
      </c>
      <c r="B430" s="8" t="s">
        <v>113</v>
      </c>
      <c r="C430" s="8" t="s">
        <v>106</v>
      </c>
      <c r="D430" s="8" t="s">
        <v>138</v>
      </c>
      <c r="E430" s="8" t="s">
        <v>34</v>
      </c>
      <c r="F430" s="20">
        <f>'Прилож №8'!G244</f>
        <v>1375.4</v>
      </c>
      <c r="G430" s="20">
        <f>'Прилож №8'!H244</f>
        <v>0</v>
      </c>
      <c r="H430" s="20">
        <f>'Прилож №8'!I244</f>
        <v>1275.8</v>
      </c>
      <c r="I430" s="20">
        <f>'Прилож №8'!J244</f>
        <v>0</v>
      </c>
      <c r="J430" s="20"/>
    </row>
    <row r="431" spans="1:10" ht="15">
      <c r="A431" s="10" t="s">
        <v>59</v>
      </c>
      <c r="B431" s="11" t="s">
        <v>113</v>
      </c>
      <c r="C431" s="11" t="s">
        <v>111</v>
      </c>
      <c r="D431" s="8"/>
      <c r="E431" s="8"/>
      <c r="F431" s="19">
        <f>F438+F452+F435+F449+F437</f>
        <v>59461.09999999999</v>
      </c>
      <c r="G431" s="19">
        <f>G438+G452+G435+G449+G437</f>
        <v>49001.6</v>
      </c>
      <c r="H431" s="19">
        <f>H438+H452+H435+H449+H437</f>
        <v>41421.8</v>
      </c>
      <c r="I431" s="19">
        <f>I438+I452+I435+I449+I437</f>
        <v>40550.4</v>
      </c>
      <c r="J431" s="37">
        <f>H431/F431*100</f>
        <v>69.66201432533204</v>
      </c>
    </row>
    <row r="432" spans="1:10" ht="15">
      <c r="A432" s="10" t="s">
        <v>371</v>
      </c>
      <c r="B432" s="8" t="s">
        <v>113</v>
      </c>
      <c r="C432" s="8" t="s">
        <v>111</v>
      </c>
      <c r="D432" s="8" t="s">
        <v>373</v>
      </c>
      <c r="E432" s="8"/>
      <c r="F432" s="20">
        <f>F433</f>
        <v>2341</v>
      </c>
      <c r="G432" s="20">
        <f>G433</f>
        <v>2341</v>
      </c>
      <c r="H432" s="20">
        <f>H433</f>
        <v>0</v>
      </c>
      <c r="I432" s="20">
        <f>I433</f>
        <v>0</v>
      </c>
      <c r="J432" s="20"/>
    </row>
    <row r="433" spans="1:10" ht="30">
      <c r="A433" s="35" t="s">
        <v>372</v>
      </c>
      <c r="B433" s="8" t="s">
        <v>113</v>
      </c>
      <c r="C433" s="8" t="s">
        <v>111</v>
      </c>
      <c r="D433" s="8" t="s">
        <v>374</v>
      </c>
      <c r="E433" s="8"/>
      <c r="F433" s="20">
        <f>F434+F436</f>
        <v>2341</v>
      </c>
      <c r="G433" s="20">
        <f>G434+G436</f>
        <v>2341</v>
      </c>
      <c r="H433" s="20">
        <f>H434+H436</f>
        <v>0</v>
      </c>
      <c r="I433" s="20">
        <f>I434+I436</f>
        <v>0</v>
      </c>
      <c r="J433" s="20"/>
    </row>
    <row r="434" spans="1:10" ht="28.5">
      <c r="A434" s="6" t="s">
        <v>441</v>
      </c>
      <c r="B434" s="8" t="s">
        <v>113</v>
      </c>
      <c r="C434" s="8" t="s">
        <v>111</v>
      </c>
      <c r="D434" s="8" t="s">
        <v>375</v>
      </c>
      <c r="E434" s="8"/>
      <c r="F434" s="20">
        <f>F435</f>
        <v>891</v>
      </c>
      <c r="G434" s="20">
        <f>G435</f>
        <v>891</v>
      </c>
      <c r="H434" s="20">
        <f>H435</f>
        <v>0</v>
      </c>
      <c r="I434" s="20">
        <f>I435</f>
        <v>0</v>
      </c>
      <c r="J434" s="20"/>
    </row>
    <row r="435" spans="1:10" ht="14.25">
      <c r="A435" s="7" t="s">
        <v>411</v>
      </c>
      <c r="B435" s="8" t="s">
        <v>113</v>
      </c>
      <c r="C435" s="8" t="s">
        <v>111</v>
      </c>
      <c r="D435" s="8" t="s">
        <v>375</v>
      </c>
      <c r="E435" s="8" t="s">
        <v>410</v>
      </c>
      <c r="F435" s="20">
        <f>'Прилож №8'!G598</f>
        <v>891</v>
      </c>
      <c r="G435" s="20">
        <f>'Прилож №8'!H598</f>
        <v>891</v>
      </c>
      <c r="H435" s="20">
        <f>'Прилож №8'!I598</f>
        <v>0</v>
      </c>
      <c r="I435" s="20">
        <f>'Прилож №8'!J598</f>
        <v>0</v>
      </c>
      <c r="J435" s="20"/>
    </row>
    <row r="436" spans="1:10" ht="14.25">
      <c r="A436" s="7" t="s">
        <v>442</v>
      </c>
      <c r="B436" s="8" t="s">
        <v>113</v>
      </c>
      <c r="C436" s="8" t="s">
        <v>111</v>
      </c>
      <c r="D436" s="8" t="s">
        <v>440</v>
      </c>
      <c r="E436" s="8"/>
      <c r="F436" s="20">
        <f>F437</f>
        <v>1450</v>
      </c>
      <c r="G436" s="20">
        <f>G437</f>
        <v>1450</v>
      </c>
      <c r="H436" s="20">
        <f>H437</f>
        <v>0</v>
      </c>
      <c r="I436" s="20">
        <f>I437</f>
        <v>0</v>
      </c>
      <c r="J436" s="20"/>
    </row>
    <row r="437" spans="1:10" ht="14.25">
      <c r="A437" s="7" t="s">
        <v>411</v>
      </c>
      <c r="B437" s="8" t="s">
        <v>113</v>
      </c>
      <c r="C437" s="8" t="s">
        <v>111</v>
      </c>
      <c r="D437" s="8" t="s">
        <v>440</v>
      </c>
      <c r="E437" s="8" t="s">
        <v>410</v>
      </c>
      <c r="F437" s="20">
        <f>'Прилож №8'!G600</f>
        <v>1450</v>
      </c>
      <c r="G437" s="20">
        <f>'Прилож №8'!H600</f>
        <v>1450</v>
      </c>
      <c r="H437" s="20">
        <f>'Прилож №8'!I600</f>
        <v>0</v>
      </c>
      <c r="I437" s="20">
        <f>'Прилож №8'!J600</f>
        <v>0</v>
      </c>
      <c r="J437" s="20"/>
    </row>
    <row r="438" spans="1:10" ht="14.25">
      <c r="A438" s="6" t="s">
        <v>139</v>
      </c>
      <c r="B438" s="8" t="s">
        <v>113</v>
      </c>
      <c r="C438" s="8" t="s">
        <v>111</v>
      </c>
      <c r="D438" s="8" t="s">
        <v>54</v>
      </c>
      <c r="E438" s="8"/>
      <c r="F438" s="20">
        <f>F444+F447+F439</f>
        <v>51035.799999999996</v>
      </c>
      <c r="G438" s="20">
        <f>G444+G447+G439</f>
        <v>44418.5</v>
      </c>
      <c r="H438" s="20">
        <f>H444+H447+H439</f>
        <v>41421.8</v>
      </c>
      <c r="I438" s="20">
        <f>I444+I447+I439</f>
        <v>40550.4</v>
      </c>
      <c r="J438" s="20"/>
    </row>
    <row r="439" spans="1:10" ht="120.75" customHeight="1">
      <c r="A439" s="41" t="s">
        <v>376</v>
      </c>
      <c r="B439" s="8" t="s">
        <v>113</v>
      </c>
      <c r="C439" s="8" t="s">
        <v>111</v>
      </c>
      <c r="D439" s="8" t="s">
        <v>377</v>
      </c>
      <c r="E439" s="8"/>
      <c r="F439" s="20">
        <f>F442+F440</f>
        <v>6392.6</v>
      </c>
      <c r="G439" s="20">
        <f>G442+G440</f>
        <v>715.5</v>
      </c>
      <c r="H439" s="20">
        <f>H442+H440</f>
        <v>0</v>
      </c>
      <c r="I439" s="20">
        <f>I442+I440</f>
        <v>0</v>
      </c>
      <c r="J439" s="20"/>
    </row>
    <row r="440" spans="1:10" ht="79.5" customHeight="1">
      <c r="A440" s="41" t="s">
        <v>432</v>
      </c>
      <c r="B440" s="8" t="s">
        <v>113</v>
      </c>
      <c r="C440" s="8" t="s">
        <v>111</v>
      </c>
      <c r="D440" s="8" t="s">
        <v>433</v>
      </c>
      <c r="E440" s="8"/>
      <c r="F440" s="20">
        <f>F441</f>
        <v>0</v>
      </c>
      <c r="G440" s="20">
        <f>G441</f>
        <v>0</v>
      </c>
      <c r="H440" s="20">
        <f>H441</f>
        <v>0</v>
      </c>
      <c r="I440" s="20">
        <f>I441</f>
        <v>0</v>
      </c>
      <c r="J440" s="20"/>
    </row>
    <row r="441" spans="1:10" ht="23.25" customHeight="1">
      <c r="A441" s="7" t="s">
        <v>411</v>
      </c>
      <c r="B441" s="8" t="s">
        <v>113</v>
      </c>
      <c r="C441" s="8" t="s">
        <v>111</v>
      </c>
      <c r="D441" s="8" t="s">
        <v>433</v>
      </c>
      <c r="E441" s="8" t="s">
        <v>410</v>
      </c>
      <c r="F441" s="20">
        <f>'Прилож №8'!G604</f>
        <v>0</v>
      </c>
      <c r="G441" s="20">
        <f>'Прилож №8'!H604</f>
        <v>0</v>
      </c>
      <c r="H441" s="20">
        <f>'Прилож №8'!I604</f>
        <v>0</v>
      </c>
      <c r="I441" s="20">
        <f>'Прилож №8'!J604</f>
        <v>0</v>
      </c>
      <c r="J441" s="20"/>
    </row>
    <row r="442" spans="1:10" ht="57">
      <c r="A442" s="6" t="s">
        <v>378</v>
      </c>
      <c r="B442" s="8" t="s">
        <v>113</v>
      </c>
      <c r="C442" s="8" t="s">
        <v>111</v>
      </c>
      <c r="D442" s="8" t="s">
        <v>379</v>
      </c>
      <c r="E442" s="8"/>
      <c r="F442" s="20">
        <f>F443</f>
        <v>6392.6</v>
      </c>
      <c r="G442" s="20">
        <f>G443</f>
        <v>715.5</v>
      </c>
      <c r="H442" s="20">
        <f>H443</f>
        <v>0</v>
      </c>
      <c r="I442" s="20">
        <f>I443</f>
        <v>0</v>
      </c>
      <c r="J442" s="20"/>
    </row>
    <row r="443" spans="1:10" ht="14.25">
      <c r="A443" s="7" t="s">
        <v>411</v>
      </c>
      <c r="B443" s="8" t="s">
        <v>113</v>
      </c>
      <c r="C443" s="8" t="s">
        <v>111</v>
      </c>
      <c r="D443" s="8" t="s">
        <v>379</v>
      </c>
      <c r="E443" s="8" t="s">
        <v>410</v>
      </c>
      <c r="F443" s="20">
        <f>'Прилож №8'!G606</f>
        <v>6392.6</v>
      </c>
      <c r="G443" s="20">
        <f>'Прилож №8'!H606</f>
        <v>715.5</v>
      </c>
      <c r="H443" s="20">
        <f>'Прилож №8'!I606</f>
        <v>0</v>
      </c>
      <c r="I443" s="20">
        <f>'Прилож №8'!J606</f>
        <v>0</v>
      </c>
      <c r="J443" s="20"/>
    </row>
    <row r="444" spans="1:10" ht="14.25">
      <c r="A444" s="7" t="s">
        <v>140</v>
      </c>
      <c r="B444" s="8" t="s">
        <v>113</v>
      </c>
      <c r="C444" s="8" t="s">
        <v>111</v>
      </c>
      <c r="D444" s="8" t="s">
        <v>177</v>
      </c>
      <c r="E444" s="8"/>
      <c r="F444" s="20">
        <f>F445+F446</f>
        <v>940.2</v>
      </c>
      <c r="G444" s="20">
        <f>G445+G446</f>
        <v>0</v>
      </c>
      <c r="H444" s="20">
        <f>H445+H446</f>
        <v>871.4</v>
      </c>
      <c r="I444" s="20">
        <f>I445+I446</f>
        <v>0</v>
      </c>
      <c r="J444" s="20"/>
    </row>
    <row r="445" spans="1:10" ht="14.25">
      <c r="A445" s="7" t="s">
        <v>92</v>
      </c>
      <c r="B445" s="8" t="s">
        <v>113</v>
      </c>
      <c r="C445" s="8" t="s">
        <v>111</v>
      </c>
      <c r="D445" s="8" t="s">
        <v>177</v>
      </c>
      <c r="E445" s="8" t="s">
        <v>34</v>
      </c>
      <c r="F445" s="20">
        <f>'Прилож №8'!G248</f>
        <v>892.6</v>
      </c>
      <c r="G445" s="20">
        <f>'Прилож №8'!H248</f>
        <v>0</v>
      </c>
      <c r="H445" s="20">
        <f>'Прилож №8'!I248</f>
        <v>823.8</v>
      </c>
      <c r="I445" s="20">
        <f>'Прилож №8'!J248</f>
        <v>0</v>
      </c>
      <c r="J445" s="20"/>
    </row>
    <row r="446" spans="1:10" ht="14.25">
      <c r="A446" s="7" t="s">
        <v>86</v>
      </c>
      <c r="B446" s="8" t="s">
        <v>113</v>
      </c>
      <c r="C446" s="8" t="s">
        <v>111</v>
      </c>
      <c r="D446" s="8" t="s">
        <v>177</v>
      </c>
      <c r="E446" s="8" t="s">
        <v>150</v>
      </c>
      <c r="F446" s="20">
        <f>'Прилож №8'!G249</f>
        <v>47.6</v>
      </c>
      <c r="G446" s="20">
        <f>'Прилож №8'!H249</f>
        <v>0</v>
      </c>
      <c r="H446" s="20">
        <f>'Прилож №8'!I249</f>
        <v>47.6</v>
      </c>
      <c r="I446" s="20">
        <f>'Прилож №8'!J249</f>
        <v>0</v>
      </c>
      <c r="J446" s="20"/>
    </row>
    <row r="447" spans="1:10" ht="28.5">
      <c r="A447" s="6" t="s">
        <v>85</v>
      </c>
      <c r="B447" s="8" t="s">
        <v>113</v>
      </c>
      <c r="C447" s="8" t="s">
        <v>111</v>
      </c>
      <c r="D447" s="8" t="s">
        <v>141</v>
      </c>
      <c r="E447" s="8"/>
      <c r="F447" s="20">
        <f>F448</f>
        <v>43703</v>
      </c>
      <c r="G447" s="20">
        <f>G448</f>
        <v>43703</v>
      </c>
      <c r="H447" s="20">
        <f>H448</f>
        <v>40550.4</v>
      </c>
      <c r="I447" s="20">
        <f>I448</f>
        <v>40550.4</v>
      </c>
      <c r="J447" s="20"/>
    </row>
    <row r="448" spans="1:10" ht="33" customHeight="1">
      <c r="A448" s="6" t="s">
        <v>416</v>
      </c>
      <c r="B448" s="8" t="s">
        <v>113</v>
      </c>
      <c r="C448" s="8" t="s">
        <v>111</v>
      </c>
      <c r="D448" s="8" t="s">
        <v>141</v>
      </c>
      <c r="E448" s="8" t="s">
        <v>415</v>
      </c>
      <c r="F448" s="20">
        <f>'Прилож №8'!G251</f>
        <v>43703</v>
      </c>
      <c r="G448" s="20">
        <f>'Прилож №8'!H251</f>
        <v>43703</v>
      </c>
      <c r="H448" s="20">
        <f>'Прилож №8'!I251</f>
        <v>40550.4</v>
      </c>
      <c r="I448" s="20">
        <f>'Прилож №8'!J251</f>
        <v>40550.4</v>
      </c>
      <c r="J448" s="20"/>
    </row>
    <row r="449" spans="1:10" ht="31.5" customHeight="1">
      <c r="A449" s="6" t="s">
        <v>271</v>
      </c>
      <c r="B449" s="8" t="s">
        <v>113</v>
      </c>
      <c r="C449" s="8" t="s">
        <v>111</v>
      </c>
      <c r="D449" s="8" t="s">
        <v>270</v>
      </c>
      <c r="E449" s="8"/>
      <c r="F449" s="20">
        <f aca="true" t="shared" si="31" ref="F449:I450">F450</f>
        <v>2242.1000000000004</v>
      </c>
      <c r="G449" s="20">
        <f t="shared" si="31"/>
        <v>2242.1000000000004</v>
      </c>
      <c r="H449" s="20">
        <f t="shared" si="31"/>
        <v>0</v>
      </c>
      <c r="I449" s="20">
        <f t="shared" si="31"/>
        <v>0</v>
      </c>
      <c r="J449" s="20"/>
    </row>
    <row r="450" spans="1:10" ht="16.5" customHeight="1">
      <c r="A450" s="7" t="s">
        <v>439</v>
      </c>
      <c r="B450" s="8" t="s">
        <v>113</v>
      </c>
      <c r="C450" s="8" t="s">
        <v>111</v>
      </c>
      <c r="D450" s="8" t="s">
        <v>438</v>
      </c>
      <c r="E450" s="8"/>
      <c r="F450" s="20">
        <f t="shared" si="31"/>
        <v>2242.1000000000004</v>
      </c>
      <c r="G450" s="20">
        <f t="shared" si="31"/>
        <v>2242.1000000000004</v>
      </c>
      <c r="H450" s="20">
        <f t="shared" si="31"/>
        <v>0</v>
      </c>
      <c r="I450" s="20">
        <f t="shared" si="31"/>
        <v>0</v>
      </c>
      <c r="J450" s="20"/>
    </row>
    <row r="451" spans="1:10" ht="18.75" customHeight="1">
      <c r="A451" s="7" t="s">
        <v>411</v>
      </c>
      <c r="B451" s="8" t="s">
        <v>113</v>
      </c>
      <c r="C451" s="8" t="s">
        <v>111</v>
      </c>
      <c r="D451" s="8" t="s">
        <v>438</v>
      </c>
      <c r="E451" s="8" t="s">
        <v>410</v>
      </c>
      <c r="F451" s="20">
        <f>'Прилож №8'!G609</f>
        <v>2242.1000000000004</v>
      </c>
      <c r="G451" s="20">
        <f>'Прилож №8'!H609</f>
        <v>2242.1000000000004</v>
      </c>
      <c r="H451" s="20">
        <f>'Прилож №8'!I609</f>
        <v>0</v>
      </c>
      <c r="I451" s="20">
        <f>'Прилож №8'!J609</f>
        <v>0</v>
      </c>
      <c r="J451" s="20"/>
    </row>
    <row r="452" spans="1:10" ht="20.25" customHeight="1">
      <c r="A452" s="7" t="s">
        <v>78</v>
      </c>
      <c r="B452" s="8" t="s">
        <v>113</v>
      </c>
      <c r="C452" s="8" t="s">
        <v>111</v>
      </c>
      <c r="D452" s="8" t="s">
        <v>79</v>
      </c>
      <c r="E452" s="8"/>
      <c r="F452" s="20">
        <f>F453</f>
        <v>3842.2</v>
      </c>
      <c r="G452" s="20">
        <f aca="true" t="shared" si="32" ref="G452:I453">G453</f>
        <v>0</v>
      </c>
      <c r="H452" s="20">
        <f t="shared" si="32"/>
        <v>0</v>
      </c>
      <c r="I452" s="20">
        <f t="shared" si="32"/>
        <v>0</v>
      </c>
      <c r="J452" s="20"/>
    </row>
    <row r="453" spans="1:10" ht="33" customHeight="1">
      <c r="A453" s="6" t="s">
        <v>251</v>
      </c>
      <c r="B453" s="8" t="s">
        <v>113</v>
      </c>
      <c r="C453" s="8" t="s">
        <v>111</v>
      </c>
      <c r="D453" s="8" t="s">
        <v>258</v>
      </c>
      <c r="E453" s="8"/>
      <c r="F453" s="20">
        <f>F454</f>
        <v>3842.2</v>
      </c>
      <c r="G453" s="20">
        <f t="shared" si="32"/>
        <v>0</v>
      </c>
      <c r="H453" s="20">
        <f t="shared" si="32"/>
        <v>0</v>
      </c>
      <c r="I453" s="20">
        <f t="shared" si="32"/>
        <v>0</v>
      </c>
      <c r="J453" s="20"/>
    </row>
    <row r="454" spans="1:10" ht="13.5" customHeight="1">
      <c r="A454" s="7" t="s">
        <v>86</v>
      </c>
      <c r="B454" s="8" t="s">
        <v>113</v>
      </c>
      <c r="C454" s="8" t="s">
        <v>111</v>
      </c>
      <c r="D454" s="8" t="s">
        <v>258</v>
      </c>
      <c r="E454" s="8" t="s">
        <v>150</v>
      </c>
      <c r="F454" s="20">
        <f>'Прилож №8'!G612</f>
        <v>3842.2</v>
      </c>
      <c r="G454" s="20">
        <f>'Прилож №8'!H612</f>
        <v>0</v>
      </c>
      <c r="H454" s="20">
        <f>'Прилож №8'!I612</f>
        <v>0</v>
      </c>
      <c r="I454" s="20">
        <f>'Прилож №8'!J612</f>
        <v>0</v>
      </c>
      <c r="J454" s="20"/>
    </row>
    <row r="455" spans="1:10" ht="15" customHeight="1">
      <c r="A455" s="10" t="s">
        <v>161</v>
      </c>
      <c r="B455" s="11" t="s">
        <v>113</v>
      </c>
      <c r="C455" s="11" t="s">
        <v>108</v>
      </c>
      <c r="D455" s="11"/>
      <c r="E455" s="11"/>
      <c r="F455" s="19">
        <f>F459+F456</f>
        <v>15545.5</v>
      </c>
      <c r="G455" s="19">
        <f>G459+G456</f>
        <v>15545.5</v>
      </c>
      <c r="H455" s="19">
        <f>H459+H456</f>
        <v>10650.6</v>
      </c>
      <c r="I455" s="19">
        <f>I459+I456</f>
        <v>10650.6</v>
      </c>
      <c r="J455" s="37">
        <f>H455/F455*100</f>
        <v>68.51243125020102</v>
      </c>
    </row>
    <row r="456" spans="1:10" ht="46.5" customHeight="1">
      <c r="A456" s="6" t="s">
        <v>437</v>
      </c>
      <c r="B456" s="11" t="s">
        <v>113</v>
      </c>
      <c r="C456" s="11" t="s">
        <v>108</v>
      </c>
      <c r="D456" s="8" t="s">
        <v>435</v>
      </c>
      <c r="E456" s="8"/>
      <c r="F456" s="20">
        <f aca="true" t="shared" si="33" ref="F456:I457">F457</f>
        <v>3375</v>
      </c>
      <c r="G456" s="20">
        <f t="shared" si="33"/>
        <v>3375</v>
      </c>
      <c r="H456" s="20">
        <f t="shared" si="33"/>
        <v>0</v>
      </c>
      <c r="I456" s="20">
        <f t="shared" si="33"/>
        <v>0</v>
      </c>
      <c r="J456" s="20"/>
    </row>
    <row r="457" spans="1:10" ht="63" customHeight="1">
      <c r="A457" s="6" t="s">
        <v>434</v>
      </c>
      <c r="B457" s="11" t="s">
        <v>113</v>
      </c>
      <c r="C457" s="11" t="s">
        <v>108</v>
      </c>
      <c r="D457" s="8" t="s">
        <v>436</v>
      </c>
      <c r="E457" s="8"/>
      <c r="F457" s="20">
        <f t="shared" si="33"/>
        <v>3375</v>
      </c>
      <c r="G457" s="20">
        <f t="shared" si="33"/>
        <v>3375</v>
      </c>
      <c r="H457" s="20">
        <f t="shared" si="33"/>
        <v>0</v>
      </c>
      <c r="I457" s="20">
        <f t="shared" si="33"/>
        <v>0</v>
      </c>
      <c r="J457" s="20"/>
    </row>
    <row r="458" spans="1:10" ht="15" customHeight="1">
      <c r="A458" s="6" t="s">
        <v>123</v>
      </c>
      <c r="B458" s="11" t="s">
        <v>113</v>
      </c>
      <c r="C458" s="11" t="s">
        <v>108</v>
      </c>
      <c r="D458" s="8" t="s">
        <v>436</v>
      </c>
      <c r="E458" s="8" t="s">
        <v>407</v>
      </c>
      <c r="F458" s="20">
        <f>'Прилож №8'!G616</f>
        <v>3375</v>
      </c>
      <c r="G458" s="20">
        <f>'Прилож №8'!H616</f>
        <v>3375</v>
      </c>
      <c r="H458" s="20">
        <f>'Прилож №8'!I616</f>
        <v>0</v>
      </c>
      <c r="I458" s="20">
        <f>'Прилож №8'!J616</f>
        <v>0</v>
      </c>
      <c r="J458" s="20"/>
    </row>
    <row r="459" spans="1:10" ht="15" customHeight="1">
      <c r="A459" s="7" t="s">
        <v>74</v>
      </c>
      <c r="B459" s="8" t="s">
        <v>113</v>
      </c>
      <c r="C459" s="8" t="s">
        <v>108</v>
      </c>
      <c r="D459" s="8" t="s">
        <v>58</v>
      </c>
      <c r="E459" s="8"/>
      <c r="F459" s="20">
        <f aca="true" t="shared" si="34" ref="F459:I460">F460</f>
        <v>12170.5</v>
      </c>
      <c r="G459" s="20">
        <f t="shared" si="34"/>
        <v>12170.5</v>
      </c>
      <c r="H459" s="20">
        <f t="shared" si="34"/>
        <v>10650.6</v>
      </c>
      <c r="I459" s="20">
        <f t="shared" si="34"/>
        <v>10650.6</v>
      </c>
      <c r="J459" s="20"/>
    </row>
    <row r="460" spans="1:13" ht="63.75" customHeight="1">
      <c r="A460" s="6" t="s">
        <v>409</v>
      </c>
      <c r="B460" s="8" t="s">
        <v>113</v>
      </c>
      <c r="C460" s="8" t="s">
        <v>108</v>
      </c>
      <c r="D460" s="8" t="s">
        <v>408</v>
      </c>
      <c r="E460" s="8"/>
      <c r="F460" s="20">
        <f t="shared" si="34"/>
        <v>12170.5</v>
      </c>
      <c r="G460" s="20">
        <f t="shared" si="34"/>
        <v>12170.5</v>
      </c>
      <c r="H460" s="20">
        <f t="shared" si="34"/>
        <v>10650.6</v>
      </c>
      <c r="I460" s="20">
        <f t="shared" si="34"/>
        <v>10650.6</v>
      </c>
      <c r="J460" s="20"/>
      <c r="M460" s="18"/>
    </row>
    <row r="461" spans="1:10" ht="33.75" customHeight="1">
      <c r="A461" s="6" t="s">
        <v>405</v>
      </c>
      <c r="B461" s="8" t="s">
        <v>113</v>
      </c>
      <c r="C461" s="8" t="s">
        <v>108</v>
      </c>
      <c r="D461" s="8" t="s">
        <v>408</v>
      </c>
      <c r="E461" s="8" t="s">
        <v>404</v>
      </c>
      <c r="F461" s="20">
        <f>'Прилож №8'!G394</f>
        <v>12170.5</v>
      </c>
      <c r="G461" s="20">
        <f>'Прилож №8'!H394</f>
        <v>12170.5</v>
      </c>
      <c r="H461" s="20">
        <f>'Прилож №8'!I394</f>
        <v>10650.6</v>
      </c>
      <c r="I461" s="20">
        <f>'Прилож №8'!J394</f>
        <v>10650.6</v>
      </c>
      <c r="J461" s="20"/>
    </row>
    <row r="462" spans="1:10" ht="19.5" customHeight="1">
      <c r="A462" s="10" t="s">
        <v>77</v>
      </c>
      <c r="B462" s="11" t="s">
        <v>113</v>
      </c>
      <c r="C462" s="11" t="s">
        <v>122</v>
      </c>
      <c r="D462" s="11"/>
      <c r="E462" s="11"/>
      <c r="F462" s="19">
        <f>F469+F463+F465</f>
        <v>6051.599999999999</v>
      </c>
      <c r="G462" s="19">
        <f>G469+G463+G465</f>
        <v>70</v>
      </c>
      <c r="H462" s="19">
        <f>H469+H463+H465</f>
        <v>5662.2</v>
      </c>
      <c r="I462" s="19">
        <f>I469+I463+I465</f>
        <v>0</v>
      </c>
      <c r="J462" s="37">
        <f>H462/F462*100</f>
        <v>93.56533809240531</v>
      </c>
    </row>
    <row r="463" spans="1:10" ht="18.75" customHeight="1">
      <c r="A463" s="7" t="s">
        <v>492</v>
      </c>
      <c r="B463" s="8" t="s">
        <v>113</v>
      </c>
      <c r="C463" s="8" t="s">
        <v>122</v>
      </c>
      <c r="D463" s="8" t="s">
        <v>490</v>
      </c>
      <c r="E463" s="8"/>
      <c r="F463" s="20">
        <f>F464</f>
        <v>115.2</v>
      </c>
      <c r="G463" s="20">
        <f>G464</f>
        <v>0</v>
      </c>
      <c r="H463" s="20">
        <f>H464</f>
        <v>115.2</v>
      </c>
      <c r="I463" s="20">
        <f>I464</f>
        <v>0</v>
      </c>
      <c r="J463" s="20"/>
    </row>
    <row r="464" spans="1:10" ht="18" customHeight="1">
      <c r="A464" s="7" t="s">
        <v>88</v>
      </c>
      <c r="B464" s="8" t="s">
        <v>113</v>
      </c>
      <c r="C464" s="8" t="s">
        <v>122</v>
      </c>
      <c r="D464" s="8" t="s">
        <v>491</v>
      </c>
      <c r="E464" s="8" t="s">
        <v>76</v>
      </c>
      <c r="F464" s="20">
        <f>'Прилож №8'!G254</f>
        <v>115.2</v>
      </c>
      <c r="G464" s="20">
        <f>'Прилож №8'!H254</f>
        <v>0</v>
      </c>
      <c r="H464" s="20">
        <f>'Прилож №8'!I254</f>
        <v>115.2</v>
      </c>
      <c r="I464" s="20">
        <f>'Прилож №8'!J254</f>
        <v>0</v>
      </c>
      <c r="J464" s="20"/>
    </row>
    <row r="465" spans="1:10" ht="18" customHeight="1">
      <c r="A465" s="7" t="s">
        <v>219</v>
      </c>
      <c r="B465" s="8" t="s">
        <v>113</v>
      </c>
      <c r="C465" s="8" t="s">
        <v>122</v>
      </c>
      <c r="D465" s="8" t="s">
        <v>58</v>
      </c>
      <c r="E465" s="11"/>
      <c r="F465" s="20">
        <f aca="true" t="shared" si="35" ref="F465:I467">F466</f>
        <v>70</v>
      </c>
      <c r="G465" s="20">
        <f t="shared" si="35"/>
        <v>70</v>
      </c>
      <c r="H465" s="20">
        <f t="shared" si="35"/>
        <v>0</v>
      </c>
      <c r="I465" s="20">
        <f t="shared" si="35"/>
        <v>0</v>
      </c>
      <c r="J465" s="20"/>
    </row>
    <row r="466" spans="1:10" ht="78.75" customHeight="1">
      <c r="A466" s="6" t="s">
        <v>503</v>
      </c>
      <c r="B466" s="8" t="s">
        <v>113</v>
      </c>
      <c r="C466" s="8" t="s">
        <v>122</v>
      </c>
      <c r="D466" s="8" t="s">
        <v>485</v>
      </c>
      <c r="E466" s="11"/>
      <c r="F466" s="20">
        <f t="shared" si="35"/>
        <v>70</v>
      </c>
      <c r="G466" s="20">
        <f t="shared" si="35"/>
        <v>70</v>
      </c>
      <c r="H466" s="20">
        <f t="shared" si="35"/>
        <v>0</v>
      </c>
      <c r="I466" s="20">
        <f t="shared" si="35"/>
        <v>0</v>
      </c>
      <c r="J466" s="20"/>
    </row>
    <row r="467" spans="1:10" ht="39.75" customHeight="1">
      <c r="A467" s="6" t="s">
        <v>487</v>
      </c>
      <c r="B467" s="8" t="s">
        <v>113</v>
      </c>
      <c r="C467" s="8" t="s">
        <v>122</v>
      </c>
      <c r="D467" s="8" t="s">
        <v>486</v>
      </c>
      <c r="E467" s="11"/>
      <c r="F467" s="20">
        <f t="shared" si="35"/>
        <v>70</v>
      </c>
      <c r="G467" s="20">
        <f t="shared" si="35"/>
        <v>70</v>
      </c>
      <c r="H467" s="20">
        <f t="shared" si="35"/>
        <v>0</v>
      </c>
      <c r="I467" s="20">
        <f t="shared" si="35"/>
        <v>0</v>
      </c>
      <c r="J467" s="20"/>
    </row>
    <row r="468" spans="1:10" ht="18" customHeight="1">
      <c r="A468" s="7" t="s">
        <v>86</v>
      </c>
      <c r="B468" s="8" t="s">
        <v>113</v>
      </c>
      <c r="C468" s="8" t="s">
        <v>122</v>
      </c>
      <c r="D468" s="8" t="s">
        <v>486</v>
      </c>
      <c r="E468" s="8" t="s">
        <v>150</v>
      </c>
      <c r="F468" s="20">
        <f>'Прилож №8'!G258</f>
        <v>70</v>
      </c>
      <c r="G468" s="20">
        <f>'Прилож №8'!H258</f>
        <v>70</v>
      </c>
      <c r="H468" s="20">
        <f>'Прилож №8'!I258</f>
        <v>0</v>
      </c>
      <c r="I468" s="20">
        <f>'Прилож №8'!J258</f>
        <v>0</v>
      </c>
      <c r="J468" s="20"/>
    </row>
    <row r="469" spans="1:10" ht="14.25">
      <c r="A469" s="7" t="s">
        <v>78</v>
      </c>
      <c r="B469" s="8" t="s">
        <v>113</v>
      </c>
      <c r="C469" s="8" t="s">
        <v>122</v>
      </c>
      <c r="D469" s="8" t="s">
        <v>79</v>
      </c>
      <c r="E469" s="8"/>
      <c r="F469" s="20">
        <f>F470</f>
        <v>5866.4</v>
      </c>
      <c r="G469" s="20">
        <f>G470</f>
        <v>0</v>
      </c>
      <c r="H469" s="20">
        <f>H470</f>
        <v>5547</v>
      </c>
      <c r="I469" s="20">
        <f>I470</f>
        <v>0</v>
      </c>
      <c r="J469" s="20"/>
    </row>
    <row r="470" spans="1:10" ht="54" customHeight="1">
      <c r="A470" s="15" t="s">
        <v>240</v>
      </c>
      <c r="B470" s="8" t="s">
        <v>113</v>
      </c>
      <c r="C470" s="8" t="s">
        <v>122</v>
      </c>
      <c r="D470" s="8" t="s">
        <v>143</v>
      </c>
      <c r="E470" s="8"/>
      <c r="F470" s="20">
        <f>F473+F471+F472</f>
        <v>5866.4</v>
      </c>
      <c r="G470" s="20">
        <f>G473+G471+G472</f>
        <v>0</v>
      </c>
      <c r="H470" s="20">
        <f>H473+H471+H472</f>
        <v>5547</v>
      </c>
      <c r="I470" s="20">
        <f>I473+I471+I472</f>
        <v>0</v>
      </c>
      <c r="J470" s="20"/>
    </row>
    <row r="471" spans="1:10" ht="15" customHeight="1">
      <c r="A471" s="7" t="s">
        <v>92</v>
      </c>
      <c r="B471" s="8" t="s">
        <v>113</v>
      </c>
      <c r="C471" s="8" t="s">
        <v>122</v>
      </c>
      <c r="D471" s="8" t="s">
        <v>143</v>
      </c>
      <c r="E471" s="8" t="s">
        <v>34</v>
      </c>
      <c r="F471" s="20">
        <f>'Прилож №8'!G261</f>
        <v>136.9</v>
      </c>
      <c r="G471" s="20">
        <f>'Прилож №8'!H261</f>
        <v>0</v>
      </c>
      <c r="H471" s="20">
        <f>'Прилож №8'!I261</f>
        <v>136.9</v>
      </c>
      <c r="I471" s="20">
        <f>'Прилож №8'!J261</f>
        <v>0</v>
      </c>
      <c r="J471" s="20"/>
    </row>
    <row r="472" spans="1:10" ht="15" customHeight="1">
      <c r="A472" s="7" t="s">
        <v>147</v>
      </c>
      <c r="B472" s="8" t="s">
        <v>113</v>
      </c>
      <c r="C472" s="8" t="s">
        <v>122</v>
      </c>
      <c r="D472" s="8" t="s">
        <v>143</v>
      </c>
      <c r="E472" s="8" t="s">
        <v>148</v>
      </c>
      <c r="F472" s="20">
        <f>'Прилож №8'!G398</f>
        <v>300</v>
      </c>
      <c r="G472" s="20">
        <f>'Прилож №8'!H398</f>
        <v>0</v>
      </c>
      <c r="H472" s="20">
        <f>'Прилож №8'!I398</f>
        <v>240.9</v>
      </c>
      <c r="I472" s="20">
        <f>'Прилож №8'!J398</f>
        <v>0</v>
      </c>
      <c r="J472" s="20"/>
    </row>
    <row r="473" spans="1:10" ht="14.25">
      <c r="A473" s="7" t="s">
        <v>86</v>
      </c>
      <c r="B473" s="8" t="s">
        <v>113</v>
      </c>
      <c r="C473" s="8" t="s">
        <v>122</v>
      </c>
      <c r="D473" s="8" t="s">
        <v>143</v>
      </c>
      <c r="E473" s="8" t="s">
        <v>150</v>
      </c>
      <c r="F473" s="20">
        <f>'Прилож №8'!G262+'Прилож №8'!G399</f>
        <v>5429.5</v>
      </c>
      <c r="G473" s="20">
        <f>'Прилож №8'!H262+'Прилож №8'!H399</f>
        <v>0</v>
      </c>
      <c r="H473" s="20">
        <f>'Прилож №8'!I262+'Прилож №8'!I399</f>
        <v>5169.200000000001</v>
      </c>
      <c r="I473" s="20">
        <f>'Прилож №8'!J262+'Прилож №8'!J399</f>
        <v>0</v>
      </c>
      <c r="J473" s="20"/>
    </row>
    <row r="474" spans="1:11" s="18" customFormat="1" ht="15">
      <c r="A474" s="10" t="s">
        <v>134</v>
      </c>
      <c r="B474" s="11" t="s">
        <v>188</v>
      </c>
      <c r="C474" s="11"/>
      <c r="D474" s="11"/>
      <c r="E474" s="11"/>
      <c r="F474" s="19">
        <f>F475</f>
        <v>355230.7</v>
      </c>
      <c r="G474" s="19">
        <f>G475</f>
        <v>183348</v>
      </c>
      <c r="H474" s="19">
        <f>H475</f>
        <v>353772.6</v>
      </c>
      <c r="I474" s="19">
        <f>I475</f>
        <v>183348</v>
      </c>
      <c r="J474" s="37">
        <f>H474/F474*100</f>
        <v>99.58953435049392</v>
      </c>
      <c r="K474" s="32"/>
    </row>
    <row r="475" spans="1:11" s="18" customFormat="1" ht="15">
      <c r="A475" s="10" t="s">
        <v>189</v>
      </c>
      <c r="B475" s="11" t="s">
        <v>188</v>
      </c>
      <c r="C475" s="11" t="s">
        <v>106</v>
      </c>
      <c r="D475" s="11"/>
      <c r="E475" s="11"/>
      <c r="F475" s="19">
        <f>F476+F486+F483</f>
        <v>355230.7</v>
      </c>
      <c r="G475" s="19">
        <f>G476+G486+G483</f>
        <v>183348</v>
      </c>
      <c r="H475" s="19">
        <f>H476+H486+H483</f>
        <v>353772.6</v>
      </c>
      <c r="I475" s="19">
        <f>I476+I486+I483</f>
        <v>183348</v>
      </c>
      <c r="J475" s="19"/>
      <c r="K475" s="32"/>
    </row>
    <row r="476" spans="1:10" ht="14.25">
      <c r="A476" s="7" t="s">
        <v>46</v>
      </c>
      <c r="B476" s="8" t="s">
        <v>188</v>
      </c>
      <c r="C476" s="8" t="s">
        <v>106</v>
      </c>
      <c r="D476" s="8" t="s">
        <v>47</v>
      </c>
      <c r="E476" s="8"/>
      <c r="F476" s="20">
        <f>F477+F479</f>
        <v>15151.199999999999</v>
      </c>
      <c r="G476" s="20">
        <f>G477+G479</f>
        <v>0</v>
      </c>
      <c r="H476" s="20">
        <f>H477+H479</f>
        <v>14408.199999999999</v>
      </c>
      <c r="I476" s="20">
        <f>I477+I479</f>
        <v>0</v>
      </c>
      <c r="J476" s="20"/>
    </row>
    <row r="477" spans="1:10" ht="16.5" customHeight="1">
      <c r="A477" s="6" t="s">
        <v>228</v>
      </c>
      <c r="B477" s="8" t="s">
        <v>188</v>
      </c>
      <c r="C477" s="8" t="s">
        <v>106</v>
      </c>
      <c r="D477" s="8" t="s">
        <v>234</v>
      </c>
      <c r="E477" s="8"/>
      <c r="F477" s="20">
        <f>F478</f>
        <v>796.8</v>
      </c>
      <c r="G477" s="20">
        <f>G478</f>
        <v>0</v>
      </c>
      <c r="H477" s="20">
        <f>H478</f>
        <v>796.8</v>
      </c>
      <c r="I477" s="20">
        <f>I478</f>
        <v>0</v>
      </c>
      <c r="J477" s="20"/>
    </row>
    <row r="478" spans="1:10" ht="14.25">
      <c r="A478" s="7" t="s">
        <v>147</v>
      </c>
      <c r="B478" s="8" t="s">
        <v>188</v>
      </c>
      <c r="C478" s="8" t="s">
        <v>106</v>
      </c>
      <c r="D478" s="8" t="s">
        <v>234</v>
      </c>
      <c r="E478" s="8" t="s">
        <v>148</v>
      </c>
      <c r="F478" s="20">
        <f>'Прилож №8'!G486</f>
        <v>796.8</v>
      </c>
      <c r="G478" s="20">
        <f>'Прилож №8'!H486</f>
        <v>0</v>
      </c>
      <c r="H478" s="20">
        <f>'Прилож №8'!I486</f>
        <v>796.8</v>
      </c>
      <c r="I478" s="20">
        <f>'Прилож №8'!J486</f>
        <v>0</v>
      </c>
      <c r="J478" s="20"/>
    </row>
    <row r="479" spans="1:10" ht="14.25">
      <c r="A479" s="7" t="s">
        <v>14</v>
      </c>
      <c r="B479" s="8" t="s">
        <v>188</v>
      </c>
      <c r="C479" s="8" t="s">
        <v>106</v>
      </c>
      <c r="D479" s="8" t="s">
        <v>135</v>
      </c>
      <c r="E479" s="8"/>
      <c r="F479" s="20">
        <f>F482+F480+F481</f>
        <v>14354.4</v>
      </c>
      <c r="G479" s="20">
        <f>G482+G480+G481</f>
        <v>0</v>
      </c>
      <c r="H479" s="20">
        <f>H482+H480+H481</f>
        <v>13611.4</v>
      </c>
      <c r="I479" s="20">
        <f>I482+I480+I481</f>
        <v>0</v>
      </c>
      <c r="J479" s="20"/>
    </row>
    <row r="480" spans="1:10" ht="14.25">
      <c r="A480" s="7" t="s">
        <v>95</v>
      </c>
      <c r="B480" s="8" t="s">
        <v>188</v>
      </c>
      <c r="C480" s="8" t="s">
        <v>106</v>
      </c>
      <c r="D480" s="8" t="s">
        <v>135</v>
      </c>
      <c r="E480" s="8" t="s">
        <v>52</v>
      </c>
      <c r="F480" s="20">
        <f>'Прилож №8'!G488</f>
        <v>2.6</v>
      </c>
      <c r="G480" s="20">
        <f>'Прилож №8'!H488</f>
        <v>0</v>
      </c>
      <c r="H480" s="20">
        <f>'Прилож №8'!I488</f>
        <v>2.6</v>
      </c>
      <c r="I480" s="20">
        <f>'Прилож №8'!J488</f>
        <v>0</v>
      </c>
      <c r="J480" s="20"/>
    </row>
    <row r="481" spans="1:10" ht="14.25">
      <c r="A481" s="7" t="s">
        <v>88</v>
      </c>
      <c r="B481" s="8" t="s">
        <v>188</v>
      </c>
      <c r="C481" s="8" t="s">
        <v>106</v>
      </c>
      <c r="D481" s="8" t="s">
        <v>135</v>
      </c>
      <c r="E481" s="8" t="s">
        <v>76</v>
      </c>
      <c r="F481" s="20">
        <f>'Прилож №8'!G489</f>
        <v>35</v>
      </c>
      <c r="G481" s="20">
        <f>'Прилож №8'!H489</f>
        <v>0</v>
      </c>
      <c r="H481" s="20">
        <f>'Прилож №8'!I489</f>
        <v>35</v>
      </c>
      <c r="I481" s="20">
        <f>'Прилож №8'!J489</f>
        <v>0</v>
      </c>
      <c r="J481" s="20"/>
    </row>
    <row r="482" spans="1:10" ht="14.25">
      <c r="A482" s="7" t="s">
        <v>147</v>
      </c>
      <c r="B482" s="8" t="s">
        <v>188</v>
      </c>
      <c r="C482" s="8" t="s">
        <v>106</v>
      </c>
      <c r="D482" s="8" t="s">
        <v>135</v>
      </c>
      <c r="E482" s="8" t="s">
        <v>148</v>
      </c>
      <c r="F482" s="20">
        <f>'Прилож №8'!G490</f>
        <v>14316.8</v>
      </c>
      <c r="G482" s="20">
        <f>'Прилож №8'!H490</f>
        <v>0</v>
      </c>
      <c r="H482" s="20">
        <f>'Прилож №8'!I490</f>
        <v>13573.8</v>
      </c>
      <c r="I482" s="20">
        <f>'Прилож №8'!J490</f>
        <v>0</v>
      </c>
      <c r="J482" s="20"/>
    </row>
    <row r="483" spans="1:10" ht="14.25">
      <c r="A483" s="6" t="s">
        <v>219</v>
      </c>
      <c r="B483" s="8" t="s">
        <v>188</v>
      </c>
      <c r="C483" s="8" t="s">
        <v>106</v>
      </c>
      <c r="D483" s="8" t="s">
        <v>218</v>
      </c>
      <c r="E483" s="8"/>
      <c r="F483" s="20">
        <f aca="true" t="shared" si="36" ref="F483:I484">F484</f>
        <v>180099.5</v>
      </c>
      <c r="G483" s="20">
        <f t="shared" si="36"/>
        <v>180000</v>
      </c>
      <c r="H483" s="20">
        <f t="shared" si="36"/>
        <v>180099.5</v>
      </c>
      <c r="I483" s="20">
        <f t="shared" si="36"/>
        <v>180000</v>
      </c>
      <c r="J483" s="20"/>
    </row>
    <row r="484" spans="1:10" ht="28.5">
      <c r="A484" s="6" t="s">
        <v>285</v>
      </c>
      <c r="B484" s="8" t="s">
        <v>188</v>
      </c>
      <c r="C484" s="8" t="s">
        <v>106</v>
      </c>
      <c r="D484" s="8" t="s">
        <v>286</v>
      </c>
      <c r="E484" s="8"/>
      <c r="F484" s="20">
        <f t="shared" si="36"/>
        <v>180099.5</v>
      </c>
      <c r="G484" s="20">
        <f t="shared" si="36"/>
        <v>180000</v>
      </c>
      <c r="H484" s="20">
        <f t="shared" si="36"/>
        <v>180099.5</v>
      </c>
      <c r="I484" s="20">
        <f t="shared" si="36"/>
        <v>180000</v>
      </c>
      <c r="J484" s="20"/>
    </row>
    <row r="485" spans="1:10" ht="15">
      <c r="A485" s="35" t="s">
        <v>287</v>
      </c>
      <c r="B485" s="8" t="s">
        <v>188</v>
      </c>
      <c r="C485" s="8" t="s">
        <v>106</v>
      </c>
      <c r="D485" s="8" t="s">
        <v>286</v>
      </c>
      <c r="E485" s="8" t="s">
        <v>407</v>
      </c>
      <c r="F485" s="20">
        <f>'Прилож №8'!G268</f>
        <v>180099.5</v>
      </c>
      <c r="G485" s="20">
        <f>'Прилож №8'!H268</f>
        <v>180000</v>
      </c>
      <c r="H485" s="20">
        <f>'Прилож №8'!I268</f>
        <v>180099.5</v>
      </c>
      <c r="I485" s="20">
        <f>'Прилож №8'!J268</f>
        <v>180000</v>
      </c>
      <c r="J485" s="20"/>
    </row>
    <row r="486" spans="1:10" ht="14.25">
      <c r="A486" s="7" t="s">
        <v>78</v>
      </c>
      <c r="B486" s="8" t="s">
        <v>188</v>
      </c>
      <c r="C486" s="8" t="s">
        <v>106</v>
      </c>
      <c r="D486" s="8" t="s">
        <v>79</v>
      </c>
      <c r="E486" s="8"/>
      <c r="F486" s="20">
        <f>F487</f>
        <v>159980</v>
      </c>
      <c r="G486" s="20">
        <f>G487</f>
        <v>3348</v>
      </c>
      <c r="H486" s="20">
        <f>H487</f>
        <v>159264.9</v>
      </c>
      <c r="I486" s="20">
        <f>I487</f>
        <v>3348</v>
      </c>
      <c r="J486" s="20"/>
    </row>
    <row r="487" spans="1:10" ht="42.75">
      <c r="A487" s="6" t="s">
        <v>508</v>
      </c>
      <c r="B487" s="8" t="s">
        <v>188</v>
      </c>
      <c r="C487" s="8" t="s">
        <v>106</v>
      </c>
      <c r="D487" s="8" t="s">
        <v>259</v>
      </c>
      <c r="E487" s="8"/>
      <c r="F487" s="20">
        <f>F488+F489+F490</f>
        <v>159980</v>
      </c>
      <c r="G487" s="20">
        <f>G488+G489+G490</f>
        <v>3348</v>
      </c>
      <c r="H487" s="20">
        <f>H488+H489+H490</f>
        <v>159264.9</v>
      </c>
      <c r="I487" s="20">
        <f>I488+I489+I490</f>
        <v>3348</v>
      </c>
      <c r="J487" s="20"/>
    </row>
    <row r="488" spans="1:10" ht="14.25">
      <c r="A488" s="6" t="s">
        <v>123</v>
      </c>
      <c r="B488" s="8" t="s">
        <v>188</v>
      </c>
      <c r="C488" s="8" t="s">
        <v>106</v>
      </c>
      <c r="D488" s="8" t="s">
        <v>259</v>
      </c>
      <c r="E488" s="8" t="s">
        <v>40</v>
      </c>
      <c r="F488" s="20">
        <f>'Прилож №8'!G272</f>
        <v>157989</v>
      </c>
      <c r="G488" s="20">
        <f>'Прилож №8'!H272</f>
        <v>3348</v>
      </c>
      <c r="H488" s="20">
        <f>'Прилож №8'!I272</f>
        <v>157313.9</v>
      </c>
      <c r="I488" s="20">
        <f>'Прилож №8'!J272</f>
        <v>3348</v>
      </c>
      <c r="J488" s="20"/>
    </row>
    <row r="489" spans="1:10" ht="14.25">
      <c r="A489" s="7" t="s">
        <v>147</v>
      </c>
      <c r="B489" s="8" t="s">
        <v>188</v>
      </c>
      <c r="C489" s="8" t="s">
        <v>106</v>
      </c>
      <c r="D489" s="8" t="s">
        <v>259</v>
      </c>
      <c r="E489" s="8" t="s">
        <v>148</v>
      </c>
      <c r="F489" s="20">
        <f>'Прилож №8'!G493</f>
        <v>1145.0000000000002</v>
      </c>
      <c r="G489" s="20">
        <f>'Прилож №8'!H493</f>
        <v>0</v>
      </c>
      <c r="H489" s="20">
        <f>'Прилож №8'!I493</f>
        <v>1145</v>
      </c>
      <c r="I489" s="20">
        <f>'Прилож №8'!J493</f>
        <v>0</v>
      </c>
      <c r="J489" s="20"/>
    </row>
    <row r="490" spans="1:10" ht="14.25">
      <c r="A490" s="7" t="s">
        <v>86</v>
      </c>
      <c r="B490" s="8" t="s">
        <v>188</v>
      </c>
      <c r="C490" s="8" t="s">
        <v>106</v>
      </c>
      <c r="D490" s="8" t="s">
        <v>259</v>
      </c>
      <c r="E490" s="8" t="s">
        <v>150</v>
      </c>
      <c r="F490" s="20">
        <f>'Прилож №8'!G270+'Прилож №8'!G494</f>
        <v>845.9999999999999</v>
      </c>
      <c r="G490" s="20">
        <f>'Прилож №8'!H270+'Прилож №8'!H494</f>
        <v>0</v>
      </c>
      <c r="H490" s="20">
        <f>'Прилож №8'!I270+'Прилож №8'!I494</f>
        <v>806</v>
      </c>
      <c r="I490" s="20">
        <f>'Прилож №8'!J270+'Прилож №8'!J494</f>
        <v>0</v>
      </c>
      <c r="J490" s="20"/>
    </row>
    <row r="491" spans="1:10" ht="15">
      <c r="A491" s="10" t="s">
        <v>43</v>
      </c>
      <c r="B491" s="11" t="s">
        <v>75</v>
      </c>
      <c r="C491" s="11" t="s">
        <v>75</v>
      </c>
      <c r="D491" s="11" t="s">
        <v>30</v>
      </c>
      <c r="E491" s="11" t="s">
        <v>32</v>
      </c>
      <c r="F491" s="19">
        <f>F14+F67+F76+F88+F124+F186+F191+F316+F370+F426+F474</f>
        <v>3367858.1000000006</v>
      </c>
      <c r="G491" s="19">
        <f>G14+G67+G76+G88+G124+G186+G191+G316+G370+G426+G474</f>
        <v>1925850.2000000002</v>
      </c>
      <c r="H491" s="19">
        <f>H14+H67+H76+H88+H124+H186+H191+H316+H370+H426+H474</f>
        <v>3123683.5</v>
      </c>
      <c r="I491" s="19">
        <f>I14+I67+I76+I88+I124+I186+I191+I316+I370+I426+I474</f>
        <v>1769037.7000000002</v>
      </c>
      <c r="J491" s="37">
        <f>H491/F491*100</f>
        <v>92.7498548706669</v>
      </c>
    </row>
    <row r="494" ht="14.25">
      <c r="G494" s="49"/>
    </row>
    <row r="495" ht="14.25">
      <c r="F495" s="48"/>
    </row>
    <row r="496" ht="14.25">
      <c r="F496" s="49"/>
    </row>
    <row r="497" ht="14.25">
      <c r="F497" s="49"/>
    </row>
  </sheetData>
  <sheetProtection/>
  <mergeCells count="14">
    <mergeCell ref="D12:D13"/>
    <mergeCell ref="E12:E13"/>
    <mergeCell ref="F12:F13"/>
    <mergeCell ref="A10:J10"/>
    <mergeCell ref="G11:J11"/>
    <mergeCell ref="H12:H13"/>
    <mergeCell ref="I12:I13"/>
    <mergeCell ref="J12:J13"/>
    <mergeCell ref="A9:J9"/>
    <mergeCell ref="K12:K13"/>
    <mergeCell ref="G12:G13"/>
    <mergeCell ref="A12:A13"/>
    <mergeCell ref="B12:B13"/>
    <mergeCell ref="C12:C13"/>
  </mergeCells>
  <printOptions horizontalCentered="1"/>
  <pageMargins left="0.2755905511811024" right="0.24" top="0.17" bottom="0.2362204724409449" header="0.5118110236220472" footer="0.5118110236220472"/>
  <pageSetup fitToHeight="8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634"/>
  <sheetViews>
    <sheetView tabSelected="1" zoomScale="90" zoomScaleNormal="90" zoomScaleSheetLayoutView="100" zoomScalePageLayoutView="0" workbookViewId="0" topLeftCell="A1">
      <pane xSplit="1" ySplit="8" topLeftCell="B60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4" sqref="I4"/>
    </sheetView>
  </sheetViews>
  <sheetFormatPr defaultColWidth="8.796875" defaultRowHeight="15"/>
  <cols>
    <col min="1" max="1" width="57" style="24" customWidth="1"/>
    <col min="2" max="2" width="5.19921875" style="25" customWidth="1"/>
    <col min="3" max="3" width="8.19921875" style="25" customWidth="1"/>
    <col min="4" max="4" width="6.8984375" style="25" customWidth="1"/>
    <col min="5" max="5" width="10.59765625" style="25" customWidth="1"/>
    <col min="6" max="6" width="4.8984375" style="26" customWidth="1"/>
    <col min="7" max="7" width="15.09765625" style="24" customWidth="1"/>
    <col min="8" max="8" width="14.59765625" style="24" customWidth="1"/>
    <col min="9" max="9" width="15.3984375" style="28" customWidth="1"/>
    <col min="10" max="10" width="15.3984375" style="24" customWidth="1"/>
    <col min="11" max="11" width="8.19921875" style="29" customWidth="1"/>
    <col min="12" max="12" width="9.19921875" style="0" customWidth="1"/>
    <col min="18" max="18" width="32.59765625" style="0" customWidth="1"/>
  </cols>
  <sheetData>
    <row r="1" spans="7:11" ht="15.75">
      <c r="G1" s="27"/>
      <c r="H1" s="27"/>
      <c r="I1" s="56" t="s">
        <v>505</v>
      </c>
      <c r="J1" s="55"/>
      <c r="K1" s="27"/>
    </row>
    <row r="2" spans="7:11" ht="15.75">
      <c r="G2" s="27"/>
      <c r="H2" s="27"/>
      <c r="I2" s="56" t="s">
        <v>301</v>
      </c>
      <c r="J2" s="55"/>
      <c r="K2" s="27"/>
    </row>
    <row r="3" spans="7:11" ht="15.75">
      <c r="G3" s="27"/>
      <c r="H3" s="27"/>
      <c r="I3" s="56" t="s">
        <v>509</v>
      </c>
      <c r="J3" s="55"/>
      <c r="K3" s="27"/>
    </row>
    <row r="4" spans="6:11" ht="15.75">
      <c r="F4" s="30"/>
      <c r="G4" s="30"/>
      <c r="H4" s="30"/>
      <c r="I4" s="31"/>
      <c r="J4" s="30"/>
      <c r="K4" s="30"/>
    </row>
    <row r="5" spans="1:11" ht="22.5" customHeight="1">
      <c r="A5" s="62" t="s">
        <v>225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8:11" ht="15.75">
      <c r="H6" s="82" t="s">
        <v>146</v>
      </c>
      <c r="I6" s="82"/>
      <c r="J6" s="82"/>
      <c r="K6" s="82"/>
    </row>
    <row r="7" spans="1:12" ht="15.75">
      <c r="A7" s="79" t="s">
        <v>0</v>
      </c>
      <c r="B7" s="68" t="s">
        <v>35</v>
      </c>
      <c r="C7" s="68" t="s">
        <v>36</v>
      </c>
      <c r="D7" s="75" t="s">
        <v>184</v>
      </c>
      <c r="E7" s="75" t="s">
        <v>185</v>
      </c>
      <c r="F7" s="80" t="s">
        <v>396</v>
      </c>
      <c r="G7" s="77" t="s">
        <v>481</v>
      </c>
      <c r="H7" s="75" t="s">
        <v>186</v>
      </c>
      <c r="I7" s="58" t="s">
        <v>480</v>
      </c>
      <c r="J7" s="71" t="s">
        <v>186</v>
      </c>
      <c r="K7" s="73" t="s">
        <v>479</v>
      </c>
      <c r="L7" s="16"/>
    </row>
    <row r="8" spans="1:15" ht="63" customHeight="1">
      <c r="A8" s="66"/>
      <c r="B8" s="66"/>
      <c r="C8" s="66"/>
      <c r="D8" s="76"/>
      <c r="E8" s="76"/>
      <c r="F8" s="81"/>
      <c r="G8" s="78"/>
      <c r="H8" s="76"/>
      <c r="I8" s="58"/>
      <c r="J8" s="72"/>
      <c r="K8" s="74"/>
      <c r="L8" s="16"/>
      <c r="O8" s="17"/>
    </row>
    <row r="9" spans="1:11" ht="27.75" customHeight="1">
      <c r="A9" s="33" t="s">
        <v>213</v>
      </c>
      <c r="B9" s="11" t="s">
        <v>193</v>
      </c>
      <c r="C9" s="11"/>
      <c r="D9" s="11"/>
      <c r="E9" s="11"/>
      <c r="F9" s="12"/>
      <c r="G9" s="34">
        <f>G10+G44+G53+G64+G100+G156+G240+G263+G185+G161+G181</f>
        <v>2108783.5000000005</v>
      </c>
      <c r="H9" s="34">
        <f>H10+H44+H53+H64+H100+H156+H240+H263+H185+H161+H181</f>
        <v>1474841.2000000002</v>
      </c>
      <c r="I9" s="34">
        <f>I10+I44+I53+I64+I100+I156+I240+I263+I185+I161+I181</f>
        <v>1926143.4999999998</v>
      </c>
      <c r="J9" s="34">
        <f>J10+J44+J53+J64+J100+J156+J240+J263+J185+J161+J181</f>
        <v>1330627.2000000002</v>
      </c>
      <c r="K9" s="36">
        <f>I9/G9*100</f>
        <v>91.3390824615234</v>
      </c>
    </row>
    <row r="10" spans="1:11" ht="15.75">
      <c r="A10" s="10" t="s">
        <v>9</v>
      </c>
      <c r="B10" s="11" t="s">
        <v>193</v>
      </c>
      <c r="C10" s="11" t="s">
        <v>106</v>
      </c>
      <c r="D10" s="11"/>
      <c r="E10" s="11"/>
      <c r="F10" s="12"/>
      <c r="G10" s="19">
        <f>G11+G15+G31+G35+G27</f>
        <v>131136.7</v>
      </c>
      <c r="H10" s="19">
        <f>H11+H15+H31+H35+H27</f>
        <v>9231</v>
      </c>
      <c r="I10" s="19">
        <f>I11+I15+I31+I35+I27</f>
        <v>121749.99999999999</v>
      </c>
      <c r="J10" s="19">
        <f>J11+J15+J31+J35+J27</f>
        <v>8104.6</v>
      </c>
      <c r="K10" s="37">
        <f>I10/G10*100</f>
        <v>92.8420495559214</v>
      </c>
    </row>
    <row r="11" spans="1:43" s="1" customFormat="1" ht="30">
      <c r="A11" s="35" t="s">
        <v>62</v>
      </c>
      <c r="B11" s="11" t="s">
        <v>193</v>
      </c>
      <c r="C11" s="11" t="s">
        <v>106</v>
      </c>
      <c r="D11" s="11" t="s">
        <v>107</v>
      </c>
      <c r="E11" s="11"/>
      <c r="F11" s="12"/>
      <c r="G11" s="20">
        <f>G12</f>
        <v>3525.3</v>
      </c>
      <c r="H11" s="20">
        <f>H12</f>
        <v>0</v>
      </c>
      <c r="I11" s="20">
        <f>I12</f>
        <v>3485.2</v>
      </c>
      <c r="J11" s="20">
        <f>J12</f>
        <v>0</v>
      </c>
      <c r="K11" s="38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s="2" customFormat="1" ht="43.5">
      <c r="A12" s="6" t="s">
        <v>153</v>
      </c>
      <c r="B12" s="8" t="s">
        <v>193</v>
      </c>
      <c r="C12" s="8" t="s">
        <v>106</v>
      </c>
      <c r="D12" s="8" t="s">
        <v>107</v>
      </c>
      <c r="E12" s="8" t="s">
        <v>149</v>
      </c>
      <c r="F12" s="9"/>
      <c r="G12" s="20">
        <f>G14</f>
        <v>3525.3</v>
      </c>
      <c r="H12" s="20">
        <f>H14</f>
        <v>0</v>
      </c>
      <c r="I12" s="20">
        <f>I14</f>
        <v>3485.2</v>
      </c>
      <c r="J12" s="20">
        <f>J14</f>
        <v>0</v>
      </c>
      <c r="K12" s="38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s="2" customFormat="1" ht="15.75">
      <c r="A13" s="6" t="s">
        <v>154</v>
      </c>
      <c r="B13" s="8" t="s">
        <v>193</v>
      </c>
      <c r="C13" s="8" t="s">
        <v>106</v>
      </c>
      <c r="D13" s="8" t="s">
        <v>107</v>
      </c>
      <c r="E13" s="8" t="s">
        <v>155</v>
      </c>
      <c r="F13" s="9"/>
      <c r="G13" s="20">
        <f>G14</f>
        <v>3525.3</v>
      </c>
      <c r="H13" s="20">
        <f>H14</f>
        <v>0</v>
      </c>
      <c r="I13" s="20">
        <f>I14</f>
        <v>3485.2</v>
      </c>
      <c r="J13" s="20">
        <f>J14</f>
        <v>0</v>
      </c>
      <c r="K13" s="38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2" customFormat="1" ht="15.75">
      <c r="A14" s="7" t="s">
        <v>86</v>
      </c>
      <c r="B14" s="8" t="s">
        <v>193</v>
      </c>
      <c r="C14" s="8" t="s">
        <v>106</v>
      </c>
      <c r="D14" s="8" t="s">
        <v>107</v>
      </c>
      <c r="E14" s="8" t="s">
        <v>155</v>
      </c>
      <c r="F14" s="9" t="s">
        <v>150</v>
      </c>
      <c r="G14" s="20">
        <v>3525.3</v>
      </c>
      <c r="H14" s="20"/>
      <c r="I14" s="20">
        <v>3485.2</v>
      </c>
      <c r="J14" s="20"/>
      <c r="K14" s="38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1" customFormat="1" ht="45">
      <c r="A15" s="35" t="s">
        <v>63</v>
      </c>
      <c r="B15" s="11" t="s">
        <v>193</v>
      </c>
      <c r="C15" s="11" t="s">
        <v>106</v>
      </c>
      <c r="D15" s="11" t="s">
        <v>108</v>
      </c>
      <c r="E15" s="11"/>
      <c r="F15" s="12"/>
      <c r="G15" s="19">
        <f>G16</f>
        <v>103408.3</v>
      </c>
      <c r="H15" s="19">
        <f>H16</f>
        <v>9090</v>
      </c>
      <c r="I15" s="19">
        <f>I16</f>
        <v>98955.99999999999</v>
      </c>
      <c r="J15" s="19">
        <f>J16</f>
        <v>8104.6</v>
      </c>
      <c r="K15" s="37">
        <f>I15/G15*100</f>
        <v>95.69444619048953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11" ht="43.5">
      <c r="A16" s="6" t="s">
        <v>153</v>
      </c>
      <c r="B16" s="8" t="s">
        <v>193</v>
      </c>
      <c r="C16" s="8" t="s">
        <v>106</v>
      </c>
      <c r="D16" s="8" t="s">
        <v>108</v>
      </c>
      <c r="E16" s="8" t="s">
        <v>149</v>
      </c>
      <c r="F16" s="9"/>
      <c r="G16" s="20">
        <f>G17+G25</f>
        <v>103408.3</v>
      </c>
      <c r="H16" s="20">
        <f>H17+H25</f>
        <v>9090</v>
      </c>
      <c r="I16" s="20">
        <f>I17+I25</f>
        <v>98955.99999999999</v>
      </c>
      <c r="J16" s="20">
        <f>J17+J25</f>
        <v>8104.6</v>
      </c>
      <c r="K16" s="38"/>
    </row>
    <row r="17" spans="1:11" ht="15.75">
      <c r="A17" s="6" t="s">
        <v>33</v>
      </c>
      <c r="B17" s="8" t="s">
        <v>193</v>
      </c>
      <c r="C17" s="8" t="s">
        <v>106</v>
      </c>
      <c r="D17" s="8" t="s">
        <v>108</v>
      </c>
      <c r="E17" s="8" t="s">
        <v>151</v>
      </c>
      <c r="F17" s="9"/>
      <c r="G17" s="20">
        <f>G18+G19+G21+G23</f>
        <v>103225.3</v>
      </c>
      <c r="H17" s="20">
        <f>H18+H19+H21+H23</f>
        <v>9090</v>
      </c>
      <c r="I17" s="20">
        <f>I18+I19+I21+I23</f>
        <v>98828.99999999999</v>
      </c>
      <c r="J17" s="20">
        <f>J18+J19+J21+J23</f>
        <v>8104.6</v>
      </c>
      <c r="K17" s="38"/>
    </row>
    <row r="18" spans="1:11" ht="15.75">
      <c r="A18" s="7" t="s">
        <v>86</v>
      </c>
      <c r="B18" s="8" t="s">
        <v>193</v>
      </c>
      <c r="C18" s="8" t="s">
        <v>106</v>
      </c>
      <c r="D18" s="8" t="s">
        <v>108</v>
      </c>
      <c r="E18" s="8" t="s">
        <v>151</v>
      </c>
      <c r="F18" s="9" t="s">
        <v>150</v>
      </c>
      <c r="G18" s="20">
        <v>94135.3</v>
      </c>
      <c r="H18" s="20"/>
      <c r="I18" s="20">
        <v>90724.4</v>
      </c>
      <c r="J18" s="20"/>
      <c r="K18" s="38"/>
    </row>
    <row r="19" spans="1:11" ht="77.25" customHeight="1">
      <c r="A19" s="6" t="s">
        <v>355</v>
      </c>
      <c r="B19" s="8" t="s">
        <v>193</v>
      </c>
      <c r="C19" s="8" t="s">
        <v>106</v>
      </c>
      <c r="D19" s="8" t="s">
        <v>108</v>
      </c>
      <c r="E19" s="8" t="s">
        <v>320</v>
      </c>
      <c r="F19" s="9"/>
      <c r="G19" s="20">
        <f>G20</f>
        <v>4539</v>
      </c>
      <c r="H19" s="20">
        <f>H20</f>
        <v>4539</v>
      </c>
      <c r="I19" s="20">
        <f>I20</f>
        <v>4091.9</v>
      </c>
      <c r="J19" s="20">
        <f>J20</f>
        <v>4091.9</v>
      </c>
      <c r="K19" s="38"/>
    </row>
    <row r="20" spans="1:11" ht="15.75">
      <c r="A20" s="7" t="s">
        <v>299</v>
      </c>
      <c r="B20" s="8" t="s">
        <v>193</v>
      </c>
      <c r="C20" s="8" t="s">
        <v>106</v>
      </c>
      <c r="D20" s="8" t="s">
        <v>108</v>
      </c>
      <c r="E20" s="8" t="s">
        <v>320</v>
      </c>
      <c r="F20" s="9" t="s">
        <v>300</v>
      </c>
      <c r="G20" s="20">
        <v>4539</v>
      </c>
      <c r="H20" s="20">
        <v>4539</v>
      </c>
      <c r="I20" s="20">
        <v>4091.9</v>
      </c>
      <c r="J20" s="20">
        <v>4091.9</v>
      </c>
      <c r="K20" s="38"/>
    </row>
    <row r="21" spans="1:11" ht="43.5">
      <c r="A21" s="6" t="s">
        <v>319</v>
      </c>
      <c r="B21" s="8" t="s">
        <v>193</v>
      </c>
      <c r="C21" s="8" t="s">
        <v>106</v>
      </c>
      <c r="D21" s="8" t="s">
        <v>108</v>
      </c>
      <c r="E21" s="8" t="s">
        <v>318</v>
      </c>
      <c r="F21" s="9"/>
      <c r="G21" s="20">
        <f>G22</f>
        <v>2651</v>
      </c>
      <c r="H21" s="20">
        <f>H22</f>
        <v>2651</v>
      </c>
      <c r="I21" s="20">
        <f>I22</f>
        <v>2519.9</v>
      </c>
      <c r="J21" s="20">
        <f>J22</f>
        <v>2519.9</v>
      </c>
      <c r="K21" s="38"/>
    </row>
    <row r="22" spans="1:11" ht="15.75">
      <c r="A22" s="7" t="s">
        <v>299</v>
      </c>
      <c r="B22" s="8" t="s">
        <v>193</v>
      </c>
      <c r="C22" s="8" t="s">
        <v>106</v>
      </c>
      <c r="D22" s="8" t="s">
        <v>108</v>
      </c>
      <c r="E22" s="8" t="s">
        <v>318</v>
      </c>
      <c r="F22" s="9" t="s">
        <v>300</v>
      </c>
      <c r="G22" s="20">
        <v>2651</v>
      </c>
      <c r="H22" s="20">
        <v>2651</v>
      </c>
      <c r="I22" s="20">
        <v>2519.9</v>
      </c>
      <c r="J22" s="20">
        <v>2519.9</v>
      </c>
      <c r="K22" s="38"/>
    </row>
    <row r="23" spans="1:11" ht="72">
      <c r="A23" s="6" t="s">
        <v>356</v>
      </c>
      <c r="B23" s="8" t="s">
        <v>193</v>
      </c>
      <c r="C23" s="8" t="s">
        <v>106</v>
      </c>
      <c r="D23" s="8" t="s">
        <v>108</v>
      </c>
      <c r="E23" s="8" t="s">
        <v>317</v>
      </c>
      <c r="F23" s="9"/>
      <c r="G23" s="20">
        <f>G24</f>
        <v>1900</v>
      </c>
      <c r="H23" s="20">
        <f>H24</f>
        <v>1900</v>
      </c>
      <c r="I23" s="20">
        <f>I24</f>
        <v>1492.8</v>
      </c>
      <c r="J23" s="20">
        <f>J24</f>
        <v>1492.8</v>
      </c>
      <c r="K23" s="38"/>
    </row>
    <row r="24" spans="1:11" ht="15.75">
      <c r="A24" s="7" t="s">
        <v>299</v>
      </c>
      <c r="B24" s="8" t="s">
        <v>193</v>
      </c>
      <c r="C24" s="8" t="s">
        <v>106</v>
      </c>
      <c r="D24" s="8" t="s">
        <v>108</v>
      </c>
      <c r="E24" s="8" t="s">
        <v>317</v>
      </c>
      <c r="F24" s="9" t="s">
        <v>300</v>
      </c>
      <c r="G24" s="20">
        <v>1900</v>
      </c>
      <c r="H24" s="20">
        <v>1900</v>
      </c>
      <c r="I24" s="20">
        <v>1492.8</v>
      </c>
      <c r="J24" s="20">
        <v>1492.8</v>
      </c>
      <c r="K24" s="38"/>
    </row>
    <row r="25" spans="1:11" ht="15.75">
      <c r="A25" s="13" t="s">
        <v>228</v>
      </c>
      <c r="B25" s="8" t="s">
        <v>193</v>
      </c>
      <c r="C25" s="8" t="s">
        <v>106</v>
      </c>
      <c r="D25" s="8" t="s">
        <v>108</v>
      </c>
      <c r="E25" s="8" t="s">
        <v>229</v>
      </c>
      <c r="F25" s="9"/>
      <c r="G25" s="20">
        <f>G26</f>
        <v>183</v>
      </c>
      <c r="H25" s="20">
        <f>H26</f>
        <v>0</v>
      </c>
      <c r="I25" s="20">
        <f>I26</f>
        <v>127</v>
      </c>
      <c r="J25" s="20">
        <f>J26</f>
        <v>0</v>
      </c>
      <c r="K25" s="38"/>
    </row>
    <row r="26" spans="1:11" ht="15.75">
      <c r="A26" s="7" t="s">
        <v>86</v>
      </c>
      <c r="B26" s="8" t="s">
        <v>193</v>
      </c>
      <c r="C26" s="8" t="s">
        <v>106</v>
      </c>
      <c r="D26" s="8" t="s">
        <v>108</v>
      </c>
      <c r="E26" s="8" t="s">
        <v>229</v>
      </c>
      <c r="F26" s="9" t="s">
        <v>150</v>
      </c>
      <c r="G26" s="20">
        <f>200-17</f>
        <v>183</v>
      </c>
      <c r="H26" s="20"/>
      <c r="I26" s="20">
        <v>127</v>
      </c>
      <c r="J26" s="20"/>
      <c r="K26" s="38"/>
    </row>
    <row r="27" spans="1:11" ht="15.75">
      <c r="A27" s="10" t="s">
        <v>429</v>
      </c>
      <c r="B27" s="8" t="s">
        <v>193</v>
      </c>
      <c r="C27" s="8" t="s">
        <v>106</v>
      </c>
      <c r="D27" s="8" t="s">
        <v>119</v>
      </c>
      <c r="E27" s="8"/>
      <c r="F27" s="9"/>
      <c r="G27" s="20">
        <f aca="true" t="shared" si="0" ref="G27:J29">G28</f>
        <v>141</v>
      </c>
      <c r="H27" s="20">
        <f t="shared" si="0"/>
        <v>141</v>
      </c>
      <c r="I27" s="20">
        <f t="shared" si="0"/>
        <v>0</v>
      </c>
      <c r="J27" s="20">
        <f t="shared" si="0"/>
        <v>0</v>
      </c>
      <c r="K27" s="38"/>
    </row>
    <row r="28" spans="1:11" ht="15.75">
      <c r="A28" s="7" t="s">
        <v>220</v>
      </c>
      <c r="B28" s="8" t="s">
        <v>193</v>
      </c>
      <c r="C28" s="8" t="s">
        <v>106</v>
      </c>
      <c r="D28" s="8" t="s">
        <v>119</v>
      </c>
      <c r="E28" s="8" t="s">
        <v>221</v>
      </c>
      <c r="F28" s="9"/>
      <c r="G28" s="20">
        <f t="shared" si="0"/>
        <v>141</v>
      </c>
      <c r="H28" s="20">
        <f t="shared" si="0"/>
        <v>141</v>
      </c>
      <c r="I28" s="20">
        <f t="shared" si="0"/>
        <v>0</v>
      </c>
      <c r="J28" s="20">
        <f t="shared" si="0"/>
        <v>0</v>
      </c>
      <c r="K28" s="38"/>
    </row>
    <row r="29" spans="1:11" ht="48.75" customHeight="1">
      <c r="A29" s="6" t="s">
        <v>430</v>
      </c>
      <c r="B29" s="8" t="s">
        <v>193</v>
      </c>
      <c r="C29" s="8" t="s">
        <v>106</v>
      </c>
      <c r="D29" s="8" t="s">
        <v>119</v>
      </c>
      <c r="E29" s="8" t="s">
        <v>431</v>
      </c>
      <c r="F29" s="9"/>
      <c r="G29" s="20">
        <f t="shared" si="0"/>
        <v>141</v>
      </c>
      <c r="H29" s="20">
        <f t="shared" si="0"/>
        <v>141</v>
      </c>
      <c r="I29" s="20">
        <f t="shared" si="0"/>
        <v>0</v>
      </c>
      <c r="J29" s="20">
        <f t="shared" si="0"/>
        <v>0</v>
      </c>
      <c r="K29" s="38"/>
    </row>
    <row r="30" spans="1:11" ht="15.75">
      <c r="A30" s="7" t="s">
        <v>299</v>
      </c>
      <c r="B30" s="8" t="s">
        <v>193</v>
      </c>
      <c r="C30" s="8" t="s">
        <v>106</v>
      </c>
      <c r="D30" s="8" t="s">
        <v>119</v>
      </c>
      <c r="E30" s="8" t="s">
        <v>431</v>
      </c>
      <c r="F30" s="9" t="s">
        <v>300</v>
      </c>
      <c r="G30" s="20">
        <v>141</v>
      </c>
      <c r="H30" s="20">
        <v>141</v>
      </c>
      <c r="I30" s="20">
        <v>0</v>
      </c>
      <c r="J30" s="20">
        <v>0</v>
      </c>
      <c r="K30" s="38"/>
    </row>
    <row r="31" spans="1:43" s="1" customFormat="1" ht="15.75">
      <c r="A31" s="10" t="s">
        <v>8</v>
      </c>
      <c r="B31" s="11" t="s">
        <v>193</v>
      </c>
      <c r="C31" s="11" t="s">
        <v>106</v>
      </c>
      <c r="D31" s="11" t="s">
        <v>188</v>
      </c>
      <c r="E31" s="11"/>
      <c r="F31" s="12"/>
      <c r="G31" s="19">
        <f aca="true" t="shared" si="1" ref="G31:J33">G32</f>
        <v>3162</v>
      </c>
      <c r="H31" s="19">
        <f t="shared" si="1"/>
        <v>0</v>
      </c>
      <c r="I31" s="19">
        <f t="shared" si="1"/>
        <v>0</v>
      </c>
      <c r="J31" s="19">
        <f t="shared" si="1"/>
        <v>0</v>
      </c>
      <c r="K31" s="37">
        <f>I31/G31*100</f>
        <v>0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11" ht="15.75">
      <c r="A32" s="10" t="s">
        <v>8</v>
      </c>
      <c r="B32" s="11" t="s">
        <v>193</v>
      </c>
      <c r="C32" s="11" t="s">
        <v>106</v>
      </c>
      <c r="D32" s="11" t="s">
        <v>188</v>
      </c>
      <c r="E32" s="11" t="s">
        <v>11</v>
      </c>
      <c r="F32" s="12"/>
      <c r="G32" s="19">
        <f t="shared" si="1"/>
        <v>3162</v>
      </c>
      <c r="H32" s="19">
        <f t="shared" si="1"/>
        <v>0</v>
      </c>
      <c r="I32" s="19">
        <f t="shared" si="1"/>
        <v>0</v>
      </c>
      <c r="J32" s="19">
        <f t="shared" si="1"/>
        <v>0</v>
      </c>
      <c r="K32" s="37">
        <f>I32/G32*100</f>
        <v>0</v>
      </c>
    </row>
    <row r="33" spans="1:11" ht="29.25">
      <c r="A33" s="6" t="s">
        <v>89</v>
      </c>
      <c r="B33" s="8" t="s">
        <v>193</v>
      </c>
      <c r="C33" s="8" t="s">
        <v>106</v>
      </c>
      <c r="D33" s="8" t="s">
        <v>188</v>
      </c>
      <c r="E33" s="8" t="s">
        <v>90</v>
      </c>
      <c r="F33" s="9"/>
      <c r="G33" s="20">
        <f t="shared" si="1"/>
        <v>3162</v>
      </c>
      <c r="H33" s="20">
        <f t="shared" si="1"/>
        <v>0</v>
      </c>
      <c r="I33" s="20">
        <f t="shared" si="1"/>
        <v>0</v>
      </c>
      <c r="J33" s="20">
        <f t="shared" si="1"/>
        <v>0</v>
      </c>
      <c r="K33" s="38"/>
    </row>
    <row r="34" spans="1:11" ht="15.75">
      <c r="A34" s="7" t="s">
        <v>88</v>
      </c>
      <c r="B34" s="8" t="s">
        <v>193</v>
      </c>
      <c r="C34" s="8" t="s">
        <v>106</v>
      </c>
      <c r="D34" s="8" t="s">
        <v>188</v>
      </c>
      <c r="E34" s="8" t="s">
        <v>90</v>
      </c>
      <c r="F34" s="9" t="s">
        <v>76</v>
      </c>
      <c r="G34" s="20">
        <v>3162</v>
      </c>
      <c r="H34" s="20"/>
      <c r="I34" s="20"/>
      <c r="J34" s="20"/>
      <c r="K34" s="38"/>
    </row>
    <row r="35" spans="1:43" s="1" customFormat="1" ht="15.75">
      <c r="A35" s="10" t="s">
        <v>48</v>
      </c>
      <c r="B35" s="11" t="s">
        <v>193</v>
      </c>
      <c r="C35" s="11" t="s">
        <v>106</v>
      </c>
      <c r="D35" s="11" t="s">
        <v>187</v>
      </c>
      <c r="E35" s="11"/>
      <c r="F35" s="12"/>
      <c r="G35" s="19">
        <f>G39+G36</f>
        <v>20900.100000000002</v>
      </c>
      <c r="H35" s="19">
        <f>H39+H36</f>
        <v>0</v>
      </c>
      <c r="I35" s="19">
        <f>I39+I36</f>
        <v>19308.8</v>
      </c>
      <c r="J35" s="19">
        <f>J39+J36</f>
        <v>0</v>
      </c>
      <c r="K35" s="37">
        <f>I35/G35*100</f>
        <v>92.38616083176635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s="1" customFormat="1" ht="15.75">
      <c r="A36" s="7" t="s">
        <v>45</v>
      </c>
      <c r="B36" s="8" t="s">
        <v>193</v>
      </c>
      <c r="C36" s="8" t="s">
        <v>106</v>
      </c>
      <c r="D36" s="8" t="s">
        <v>187</v>
      </c>
      <c r="E36" s="8" t="s">
        <v>120</v>
      </c>
      <c r="F36" s="9"/>
      <c r="G36" s="20">
        <f>G38+G37</f>
        <v>1565.7</v>
      </c>
      <c r="H36" s="20">
        <f>H38+H37</f>
        <v>0</v>
      </c>
      <c r="I36" s="20">
        <f>I38+I37</f>
        <v>565.8</v>
      </c>
      <c r="J36" s="20">
        <f>J38+J37</f>
        <v>0</v>
      </c>
      <c r="K36" s="38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s="1" customFormat="1" ht="15.75">
      <c r="A37" s="7" t="s">
        <v>88</v>
      </c>
      <c r="B37" s="8" t="s">
        <v>193</v>
      </c>
      <c r="C37" s="8" t="s">
        <v>106</v>
      </c>
      <c r="D37" s="8" t="s">
        <v>187</v>
      </c>
      <c r="E37" s="8" t="s">
        <v>120</v>
      </c>
      <c r="F37" s="9" t="s">
        <v>76</v>
      </c>
      <c r="G37" s="20">
        <v>231</v>
      </c>
      <c r="H37" s="20"/>
      <c r="I37" s="20">
        <v>231.1</v>
      </c>
      <c r="J37" s="20"/>
      <c r="K37" s="38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s="1" customFormat="1" ht="15.75">
      <c r="A38" s="7" t="s">
        <v>86</v>
      </c>
      <c r="B38" s="8" t="s">
        <v>193</v>
      </c>
      <c r="C38" s="8" t="s">
        <v>106</v>
      </c>
      <c r="D38" s="8" t="s">
        <v>187</v>
      </c>
      <c r="E38" s="8" t="s">
        <v>120</v>
      </c>
      <c r="F38" s="9" t="s">
        <v>150</v>
      </c>
      <c r="G38" s="20">
        <v>1334.7</v>
      </c>
      <c r="H38" s="20"/>
      <c r="I38" s="20">
        <v>334.7</v>
      </c>
      <c r="J38" s="20"/>
      <c r="K38" s="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11" ht="15.75">
      <c r="A39" s="7" t="s">
        <v>78</v>
      </c>
      <c r="B39" s="8" t="s">
        <v>193</v>
      </c>
      <c r="C39" s="8" t="s">
        <v>106</v>
      </c>
      <c r="D39" s="8" t="s">
        <v>187</v>
      </c>
      <c r="E39" s="8" t="s">
        <v>79</v>
      </c>
      <c r="F39" s="9"/>
      <c r="G39" s="20">
        <f>G40+G42</f>
        <v>19334.4</v>
      </c>
      <c r="H39" s="20">
        <f>H40+H42</f>
        <v>0</v>
      </c>
      <c r="I39" s="20">
        <f>I40+I42</f>
        <v>18743</v>
      </c>
      <c r="J39" s="20">
        <f>J40+J42</f>
        <v>0</v>
      </c>
      <c r="K39" s="38"/>
    </row>
    <row r="40" spans="1:11" ht="43.5">
      <c r="A40" s="6" t="s">
        <v>200</v>
      </c>
      <c r="B40" s="8" t="s">
        <v>193</v>
      </c>
      <c r="C40" s="8" t="s">
        <v>106</v>
      </c>
      <c r="D40" s="8" t="s">
        <v>187</v>
      </c>
      <c r="E40" s="8" t="s">
        <v>128</v>
      </c>
      <c r="F40" s="9"/>
      <c r="G40" s="20">
        <f>G41</f>
        <v>12529.4</v>
      </c>
      <c r="H40" s="20">
        <f>H41</f>
        <v>0</v>
      </c>
      <c r="I40" s="20">
        <f>I41</f>
        <v>12105.8</v>
      </c>
      <c r="J40" s="20">
        <f>J41</f>
        <v>0</v>
      </c>
      <c r="K40" s="38"/>
    </row>
    <row r="41" spans="1:11" ht="15.75">
      <c r="A41" s="7" t="s">
        <v>86</v>
      </c>
      <c r="B41" s="8" t="s">
        <v>193</v>
      </c>
      <c r="C41" s="8" t="s">
        <v>106</v>
      </c>
      <c r="D41" s="8" t="s">
        <v>187</v>
      </c>
      <c r="E41" s="8" t="s">
        <v>128</v>
      </c>
      <c r="F41" s="9" t="s">
        <v>150</v>
      </c>
      <c r="G41" s="20">
        <f>24439.2-1000+20047.8-581-35845+5468.4</f>
        <v>12529.4</v>
      </c>
      <c r="H41" s="20"/>
      <c r="I41" s="20">
        <v>12105.8</v>
      </c>
      <c r="J41" s="20"/>
      <c r="K41" s="38"/>
    </row>
    <row r="42" spans="1:11" ht="93.75" customHeight="1">
      <c r="A42" s="5" t="s">
        <v>201</v>
      </c>
      <c r="B42" s="8" t="s">
        <v>193</v>
      </c>
      <c r="C42" s="8" t="s">
        <v>106</v>
      </c>
      <c r="D42" s="8" t="s">
        <v>187</v>
      </c>
      <c r="E42" s="8" t="s">
        <v>202</v>
      </c>
      <c r="F42" s="9"/>
      <c r="G42" s="20">
        <f>G43</f>
        <v>6805</v>
      </c>
      <c r="H42" s="20">
        <f>H43</f>
        <v>0</v>
      </c>
      <c r="I42" s="20">
        <f>I43</f>
        <v>6637.2</v>
      </c>
      <c r="J42" s="20">
        <f>J43</f>
        <v>0</v>
      </c>
      <c r="K42" s="38"/>
    </row>
    <row r="43" spans="1:11" ht="15.75">
      <c r="A43" s="7" t="s">
        <v>86</v>
      </c>
      <c r="B43" s="8" t="s">
        <v>193</v>
      </c>
      <c r="C43" s="8" t="s">
        <v>106</v>
      </c>
      <c r="D43" s="8" t="s">
        <v>187</v>
      </c>
      <c r="E43" s="8" t="s">
        <v>202</v>
      </c>
      <c r="F43" s="9" t="s">
        <v>150</v>
      </c>
      <c r="G43" s="20">
        <f>7140-350+15</f>
        <v>6805</v>
      </c>
      <c r="H43" s="20"/>
      <c r="I43" s="20">
        <v>6637.2</v>
      </c>
      <c r="J43" s="20"/>
      <c r="K43" s="38"/>
    </row>
    <row r="44" spans="1:11" ht="15.75">
      <c r="A44" s="10" t="s">
        <v>49</v>
      </c>
      <c r="B44" s="11" t="s">
        <v>193</v>
      </c>
      <c r="C44" s="11" t="s">
        <v>107</v>
      </c>
      <c r="D44" s="11"/>
      <c r="E44" s="11"/>
      <c r="F44" s="12"/>
      <c r="G44" s="19">
        <f>G49+G45</f>
        <v>4237.9</v>
      </c>
      <c r="H44" s="19">
        <f>H49+H45</f>
        <v>4096</v>
      </c>
      <c r="I44" s="19">
        <f>I49+I45</f>
        <v>3853.9</v>
      </c>
      <c r="J44" s="19">
        <f>J49+J45</f>
        <v>3712</v>
      </c>
      <c r="K44" s="37">
        <f>I44/G44*100</f>
        <v>90.93890842162394</v>
      </c>
    </row>
    <row r="45" spans="1:11" ht="15.75">
      <c r="A45" s="10" t="s">
        <v>357</v>
      </c>
      <c r="B45" s="8" t="s">
        <v>193</v>
      </c>
      <c r="C45" s="8" t="s">
        <v>107</v>
      </c>
      <c r="D45" s="8" t="s">
        <v>111</v>
      </c>
      <c r="E45" s="11"/>
      <c r="F45" s="12"/>
      <c r="G45" s="19">
        <f aca="true" t="shared" si="2" ref="G45:J47">G46</f>
        <v>4096</v>
      </c>
      <c r="H45" s="19">
        <f t="shared" si="2"/>
        <v>4096</v>
      </c>
      <c r="I45" s="19">
        <f t="shared" si="2"/>
        <v>3712</v>
      </c>
      <c r="J45" s="19">
        <f t="shared" si="2"/>
        <v>3712</v>
      </c>
      <c r="K45" s="37">
        <f>I45/G45*100</f>
        <v>90.625</v>
      </c>
    </row>
    <row r="46" spans="1:11" ht="15.75">
      <c r="A46" s="6" t="s">
        <v>220</v>
      </c>
      <c r="B46" s="8" t="s">
        <v>193</v>
      </c>
      <c r="C46" s="8" t="s">
        <v>107</v>
      </c>
      <c r="D46" s="8" t="s">
        <v>111</v>
      </c>
      <c r="E46" s="8" t="s">
        <v>221</v>
      </c>
      <c r="F46" s="12"/>
      <c r="G46" s="20">
        <f t="shared" si="2"/>
        <v>4096</v>
      </c>
      <c r="H46" s="20">
        <f t="shared" si="2"/>
        <v>4096</v>
      </c>
      <c r="I46" s="20">
        <f t="shared" si="2"/>
        <v>3712</v>
      </c>
      <c r="J46" s="20">
        <f t="shared" si="2"/>
        <v>3712</v>
      </c>
      <c r="K46" s="38"/>
    </row>
    <row r="47" spans="1:11" ht="29.25">
      <c r="A47" s="6" t="s">
        <v>227</v>
      </c>
      <c r="B47" s="8" t="s">
        <v>193</v>
      </c>
      <c r="C47" s="8" t="s">
        <v>107</v>
      </c>
      <c r="D47" s="8" t="s">
        <v>111</v>
      </c>
      <c r="E47" s="8" t="s">
        <v>226</v>
      </c>
      <c r="F47" s="12"/>
      <c r="G47" s="20">
        <f t="shared" si="2"/>
        <v>4096</v>
      </c>
      <c r="H47" s="20">
        <f t="shared" si="2"/>
        <v>4096</v>
      </c>
      <c r="I47" s="20">
        <f t="shared" si="2"/>
        <v>3712</v>
      </c>
      <c r="J47" s="20">
        <f t="shared" si="2"/>
        <v>3712</v>
      </c>
      <c r="K47" s="38"/>
    </row>
    <row r="48" spans="1:11" ht="15.75">
      <c r="A48" s="7" t="s">
        <v>299</v>
      </c>
      <c r="B48" s="8" t="s">
        <v>193</v>
      </c>
      <c r="C48" s="8" t="s">
        <v>107</v>
      </c>
      <c r="D48" s="8" t="s">
        <v>111</v>
      </c>
      <c r="E48" s="8" t="s">
        <v>226</v>
      </c>
      <c r="F48" s="9" t="s">
        <v>300</v>
      </c>
      <c r="G48" s="20">
        <v>4096</v>
      </c>
      <c r="H48" s="20">
        <v>4096</v>
      </c>
      <c r="I48" s="20">
        <v>3712</v>
      </c>
      <c r="J48" s="20">
        <v>3712</v>
      </c>
      <c r="K48" s="38"/>
    </row>
    <row r="49" spans="1:11" ht="15.75">
      <c r="A49" s="10" t="s">
        <v>50</v>
      </c>
      <c r="B49" s="8" t="s">
        <v>193</v>
      </c>
      <c r="C49" s="8" t="s">
        <v>107</v>
      </c>
      <c r="D49" s="8" t="s">
        <v>108</v>
      </c>
      <c r="E49" s="8"/>
      <c r="F49" s="9"/>
      <c r="G49" s="20">
        <f>G50</f>
        <v>141.9</v>
      </c>
      <c r="H49" s="20">
        <f aca="true" t="shared" si="3" ref="H49:J51">H50</f>
        <v>0</v>
      </c>
      <c r="I49" s="20">
        <f t="shared" si="3"/>
        <v>141.9</v>
      </c>
      <c r="J49" s="20">
        <f t="shared" si="3"/>
        <v>0</v>
      </c>
      <c r="K49" s="38"/>
    </row>
    <row r="50" spans="1:11" ht="36" customHeight="1">
      <c r="A50" s="6" t="s">
        <v>64</v>
      </c>
      <c r="B50" s="8" t="s">
        <v>193</v>
      </c>
      <c r="C50" s="8" t="s">
        <v>107</v>
      </c>
      <c r="D50" s="8" t="s">
        <v>108</v>
      </c>
      <c r="E50" s="8" t="s">
        <v>51</v>
      </c>
      <c r="F50" s="9"/>
      <c r="G50" s="20">
        <f>G51</f>
        <v>141.9</v>
      </c>
      <c r="H50" s="20">
        <f t="shared" si="3"/>
        <v>0</v>
      </c>
      <c r="I50" s="20">
        <f t="shared" si="3"/>
        <v>141.9</v>
      </c>
      <c r="J50" s="20">
        <f t="shared" si="3"/>
        <v>0</v>
      </c>
      <c r="K50" s="38"/>
    </row>
    <row r="51" spans="1:11" ht="33" customHeight="1">
      <c r="A51" s="6" t="s">
        <v>65</v>
      </c>
      <c r="B51" s="8" t="s">
        <v>193</v>
      </c>
      <c r="C51" s="8" t="s">
        <v>107</v>
      </c>
      <c r="D51" s="8" t="s">
        <v>108</v>
      </c>
      <c r="E51" s="8" t="s">
        <v>91</v>
      </c>
      <c r="F51" s="9"/>
      <c r="G51" s="20">
        <f>G52</f>
        <v>141.9</v>
      </c>
      <c r="H51" s="20">
        <f t="shared" si="3"/>
        <v>0</v>
      </c>
      <c r="I51" s="20">
        <f t="shared" si="3"/>
        <v>141.9</v>
      </c>
      <c r="J51" s="20">
        <f t="shared" si="3"/>
        <v>0</v>
      </c>
      <c r="K51" s="38"/>
    </row>
    <row r="52" spans="1:11" ht="15.75">
      <c r="A52" s="7" t="s">
        <v>86</v>
      </c>
      <c r="B52" s="8" t="s">
        <v>193</v>
      </c>
      <c r="C52" s="8" t="s">
        <v>107</v>
      </c>
      <c r="D52" s="8" t="s">
        <v>108</v>
      </c>
      <c r="E52" s="8" t="s">
        <v>91</v>
      </c>
      <c r="F52" s="9" t="s">
        <v>150</v>
      </c>
      <c r="G52" s="20">
        <v>141.9</v>
      </c>
      <c r="H52" s="20"/>
      <c r="I52" s="20">
        <v>141.9</v>
      </c>
      <c r="J52" s="20"/>
      <c r="K52" s="38"/>
    </row>
    <row r="53" spans="1:11" ht="30">
      <c r="A53" s="35" t="s">
        <v>71</v>
      </c>
      <c r="B53" s="11" t="s">
        <v>193</v>
      </c>
      <c r="C53" s="11" t="s">
        <v>111</v>
      </c>
      <c r="D53" s="11"/>
      <c r="E53" s="11"/>
      <c r="F53" s="12"/>
      <c r="G53" s="19">
        <f>G54+G58</f>
        <v>5974.1</v>
      </c>
      <c r="H53" s="19">
        <f>H54+H58</f>
        <v>0</v>
      </c>
      <c r="I53" s="19">
        <f>I54+I58</f>
        <v>4945</v>
      </c>
      <c r="J53" s="19">
        <f>J54+J58</f>
        <v>0</v>
      </c>
      <c r="K53" s="37">
        <f>I53/G53*100</f>
        <v>82.77397432249208</v>
      </c>
    </row>
    <row r="54" spans="1:43" s="1" customFormat="1" ht="36" customHeight="1">
      <c r="A54" s="6" t="s">
        <v>93</v>
      </c>
      <c r="B54" s="8" t="s">
        <v>193</v>
      </c>
      <c r="C54" s="8" t="s">
        <v>111</v>
      </c>
      <c r="D54" s="8" t="s">
        <v>112</v>
      </c>
      <c r="E54" s="8"/>
      <c r="F54" s="9"/>
      <c r="G54" s="20">
        <f>G55</f>
        <v>2200.1</v>
      </c>
      <c r="H54" s="20">
        <f aca="true" t="shared" si="4" ref="H54:J56">H55</f>
        <v>0</v>
      </c>
      <c r="I54" s="20">
        <f t="shared" si="4"/>
        <v>2151.3</v>
      </c>
      <c r="J54" s="20">
        <f t="shared" si="4"/>
        <v>0</v>
      </c>
      <c r="K54" s="38">
        <f>I54/G54*100</f>
        <v>97.78191900368167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11" ht="29.25" customHeight="1">
      <c r="A55" s="6" t="s">
        <v>82</v>
      </c>
      <c r="B55" s="8" t="s">
        <v>193</v>
      </c>
      <c r="C55" s="8" t="s">
        <v>111</v>
      </c>
      <c r="D55" s="8" t="s">
        <v>112</v>
      </c>
      <c r="E55" s="8" t="s">
        <v>83</v>
      </c>
      <c r="F55" s="9"/>
      <c r="G55" s="20">
        <f>G56</f>
        <v>2200.1</v>
      </c>
      <c r="H55" s="20">
        <f t="shared" si="4"/>
        <v>0</v>
      </c>
      <c r="I55" s="20">
        <f t="shared" si="4"/>
        <v>2151.3</v>
      </c>
      <c r="J55" s="20">
        <f t="shared" si="4"/>
        <v>0</v>
      </c>
      <c r="K55" s="38"/>
    </row>
    <row r="56" spans="1:11" ht="45.75" customHeight="1">
      <c r="A56" s="6" t="s">
        <v>84</v>
      </c>
      <c r="B56" s="8" t="s">
        <v>193</v>
      </c>
      <c r="C56" s="8" t="s">
        <v>111</v>
      </c>
      <c r="D56" s="8" t="s">
        <v>112</v>
      </c>
      <c r="E56" s="8" t="s">
        <v>94</v>
      </c>
      <c r="F56" s="9"/>
      <c r="G56" s="20">
        <f>G57</f>
        <v>2200.1</v>
      </c>
      <c r="H56" s="20">
        <f t="shared" si="4"/>
        <v>0</v>
      </c>
      <c r="I56" s="20">
        <f t="shared" si="4"/>
        <v>2151.3</v>
      </c>
      <c r="J56" s="20">
        <f t="shared" si="4"/>
        <v>0</v>
      </c>
      <c r="K56" s="38"/>
    </row>
    <row r="57" spans="1:11" ht="15" customHeight="1">
      <c r="A57" s="7" t="s">
        <v>86</v>
      </c>
      <c r="B57" s="8" t="s">
        <v>193</v>
      </c>
      <c r="C57" s="8" t="s">
        <v>111</v>
      </c>
      <c r="D57" s="8" t="s">
        <v>112</v>
      </c>
      <c r="E57" s="8" t="s">
        <v>94</v>
      </c>
      <c r="F57" s="9" t="s">
        <v>150</v>
      </c>
      <c r="G57" s="20">
        <v>2200.1</v>
      </c>
      <c r="H57" s="20"/>
      <c r="I57" s="20">
        <v>2151.3</v>
      </c>
      <c r="J57" s="20"/>
      <c r="K57" s="38"/>
    </row>
    <row r="58" spans="1:43" s="1" customFormat="1" ht="30">
      <c r="A58" s="35" t="s">
        <v>66</v>
      </c>
      <c r="B58" s="11" t="s">
        <v>193</v>
      </c>
      <c r="C58" s="11" t="s">
        <v>111</v>
      </c>
      <c r="D58" s="11" t="s">
        <v>110</v>
      </c>
      <c r="E58" s="11"/>
      <c r="F58" s="12"/>
      <c r="G58" s="19">
        <f>G60+G62</f>
        <v>3774</v>
      </c>
      <c r="H58" s="19">
        <f>H60+H62</f>
        <v>0</v>
      </c>
      <c r="I58" s="19">
        <f>I60+I62</f>
        <v>2793.7</v>
      </c>
      <c r="J58" s="19">
        <f>J60+J62</f>
        <v>0</v>
      </c>
      <c r="K58" s="37">
        <f>I58/G58*100</f>
        <v>74.02490726020137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11" ht="15.75">
      <c r="A59" s="7" t="s">
        <v>78</v>
      </c>
      <c r="B59" s="8" t="s">
        <v>193</v>
      </c>
      <c r="C59" s="8" t="s">
        <v>111</v>
      </c>
      <c r="D59" s="8" t="s">
        <v>110</v>
      </c>
      <c r="E59" s="8" t="s">
        <v>79</v>
      </c>
      <c r="F59" s="9"/>
      <c r="G59" s="20">
        <f>G60+G63</f>
        <v>3774</v>
      </c>
      <c r="H59" s="20">
        <f>H60+H63</f>
        <v>0</v>
      </c>
      <c r="I59" s="20">
        <f>I60+I63</f>
        <v>2793.7</v>
      </c>
      <c r="J59" s="20">
        <f>J60+J63</f>
        <v>0</v>
      </c>
      <c r="K59" s="38"/>
    </row>
    <row r="60" spans="1:11" ht="43.5">
      <c r="A60" s="6" t="s">
        <v>243</v>
      </c>
      <c r="B60" s="8" t="s">
        <v>193</v>
      </c>
      <c r="C60" s="8" t="s">
        <v>111</v>
      </c>
      <c r="D60" s="8" t="s">
        <v>110</v>
      </c>
      <c r="E60" s="8" t="s">
        <v>142</v>
      </c>
      <c r="F60" s="9"/>
      <c r="G60" s="20">
        <f>G61</f>
        <v>1762</v>
      </c>
      <c r="H60" s="20">
        <f>H61</f>
        <v>0</v>
      </c>
      <c r="I60" s="20">
        <f>I61</f>
        <v>859.2</v>
      </c>
      <c r="J60" s="20">
        <f>J61</f>
        <v>0</v>
      </c>
      <c r="K60" s="38"/>
    </row>
    <row r="61" spans="1:11" ht="15.75">
      <c r="A61" s="7" t="s">
        <v>86</v>
      </c>
      <c r="B61" s="8" t="s">
        <v>193</v>
      </c>
      <c r="C61" s="8" t="s">
        <v>111</v>
      </c>
      <c r="D61" s="8" t="s">
        <v>110</v>
      </c>
      <c r="E61" s="8" t="s">
        <v>142</v>
      </c>
      <c r="F61" s="9" t="s">
        <v>150</v>
      </c>
      <c r="G61" s="20">
        <f>2612-550-300</f>
        <v>1762</v>
      </c>
      <c r="H61" s="20"/>
      <c r="I61" s="20">
        <v>859.2</v>
      </c>
      <c r="J61" s="20"/>
      <c r="K61" s="38"/>
    </row>
    <row r="62" spans="1:11" ht="43.5">
      <c r="A62" s="6" t="s">
        <v>252</v>
      </c>
      <c r="B62" s="8" t="s">
        <v>193</v>
      </c>
      <c r="C62" s="8" t="s">
        <v>111</v>
      </c>
      <c r="D62" s="8" t="s">
        <v>110</v>
      </c>
      <c r="E62" s="8" t="s">
        <v>199</v>
      </c>
      <c r="F62" s="9"/>
      <c r="G62" s="20">
        <f>G63</f>
        <v>2012</v>
      </c>
      <c r="H62" s="20">
        <f>H63</f>
        <v>0</v>
      </c>
      <c r="I62" s="20">
        <f>I63</f>
        <v>1934.5</v>
      </c>
      <c r="J62" s="20">
        <f>J63</f>
        <v>0</v>
      </c>
      <c r="K62" s="38"/>
    </row>
    <row r="63" spans="1:11" ht="15.75">
      <c r="A63" s="7" t="s">
        <v>86</v>
      </c>
      <c r="B63" s="8" t="s">
        <v>193</v>
      </c>
      <c r="C63" s="8" t="s">
        <v>111</v>
      </c>
      <c r="D63" s="8" t="s">
        <v>110</v>
      </c>
      <c r="E63" s="8" t="s">
        <v>199</v>
      </c>
      <c r="F63" s="9" t="s">
        <v>150</v>
      </c>
      <c r="G63" s="20">
        <f>500+1512</f>
        <v>2012</v>
      </c>
      <c r="H63" s="20"/>
      <c r="I63" s="20">
        <v>1934.5</v>
      </c>
      <c r="J63" s="20"/>
      <c r="K63" s="38"/>
    </row>
    <row r="64" spans="1:11" ht="15.75">
      <c r="A64" s="10" t="s">
        <v>38</v>
      </c>
      <c r="B64" s="11" t="s">
        <v>193</v>
      </c>
      <c r="C64" s="11" t="s">
        <v>108</v>
      </c>
      <c r="D64" s="11"/>
      <c r="E64" s="11"/>
      <c r="F64" s="12"/>
      <c r="G64" s="19">
        <f>G65+G70+G81</f>
        <v>118273.6</v>
      </c>
      <c r="H64" s="19">
        <f>H65+H70+H81</f>
        <v>44217.4</v>
      </c>
      <c r="I64" s="19">
        <f>I65+I70+I81</f>
        <v>114248</v>
      </c>
      <c r="J64" s="19">
        <f>J65+J70+J81</f>
        <v>41150</v>
      </c>
      <c r="K64" s="37">
        <f>I64/G64*100</f>
        <v>96.5963663911473</v>
      </c>
    </row>
    <row r="65" spans="1:43" s="1" customFormat="1" ht="15.75">
      <c r="A65" s="10" t="s">
        <v>60</v>
      </c>
      <c r="B65" s="11" t="s">
        <v>193</v>
      </c>
      <c r="C65" s="11" t="s">
        <v>108</v>
      </c>
      <c r="D65" s="11" t="s">
        <v>115</v>
      </c>
      <c r="E65" s="11"/>
      <c r="F65" s="12"/>
      <c r="G65" s="19">
        <f>G66</f>
        <v>15500</v>
      </c>
      <c r="H65" s="19">
        <f aca="true" t="shared" si="5" ref="H65:J68">H66</f>
        <v>0</v>
      </c>
      <c r="I65" s="19">
        <f t="shared" si="5"/>
        <v>15500</v>
      </c>
      <c r="J65" s="19">
        <f t="shared" si="5"/>
        <v>0</v>
      </c>
      <c r="K65" s="37">
        <f>I65/G65*100</f>
        <v>100</v>
      </c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11" ht="15.75">
      <c r="A66" s="7" t="s">
        <v>96</v>
      </c>
      <c r="B66" s="8" t="s">
        <v>193</v>
      </c>
      <c r="C66" s="8" t="s">
        <v>108</v>
      </c>
      <c r="D66" s="8" t="s">
        <v>115</v>
      </c>
      <c r="E66" s="8" t="s">
        <v>97</v>
      </c>
      <c r="F66" s="9"/>
      <c r="G66" s="20">
        <f>G67</f>
        <v>15500</v>
      </c>
      <c r="H66" s="20">
        <f t="shared" si="5"/>
        <v>0</v>
      </c>
      <c r="I66" s="20">
        <f t="shared" si="5"/>
        <v>15500</v>
      </c>
      <c r="J66" s="20">
        <f t="shared" si="5"/>
        <v>0</v>
      </c>
      <c r="K66" s="38"/>
    </row>
    <row r="67" spans="1:11" ht="15.75">
      <c r="A67" s="7" t="s">
        <v>98</v>
      </c>
      <c r="B67" s="8" t="s">
        <v>193</v>
      </c>
      <c r="C67" s="8" t="s">
        <v>108</v>
      </c>
      <c r="D67" s="8" t="s">
        <v>115</v>
      </c>
      <c r="E67" s="8" t="s">
        <v>99</v>
      </c>
      <c r="F67" s="9"/>
      <c r="G67" s="20">
        <f>G68</f>
        <v>15500</v>
      </c>
      <c r="H67" s="20">
        <f t="shared" si="5"/>
        <v>0</v>
      </c>
      <c r="I67" s="20">
        <f t="shared" si="5"/>
        <v>15500</v>
      </c>
      <c r="J67" s="20">
        <f t="shared" si="5"/>
        <v>0</v>
      </c>
      <c r="K67" s="38"/>
    </row>
    <row r="68" spans="1:11" ht="49.5" customHeight="1">
      <c r="A68" s="6" t="s">
        <v>178</v>
      </c>
      <c r="B68" s="8" t="s">
        <v>193</v>
      </c>
      <c r="C68" s="8" t="s">
        <v>108</v>
      </c>
      <c r="D68" s="8" t="s">
        <v>115</v>
      </c>
      <c r="E68" s="8" t="s">
        <v>101</v>
      </c>
      <c r="F68" s="9"/>
      <c r="G68" s="20">
        <f>G69</f>
        <v>15500</v>
      </c>
      <c r="H68" s="20">
        <f t="shared" si="5"/>
        <v>0</v>
      </c>
      <c r="I68" s="20">
        <f t="shared" si="5"/>
        <v>15500</v>
      </c>
      <c r="J68" s="20">
        <f t="shared" si="5"/>
        <v>0</v>
      </c>
      <c r="K68" s="38"/>
    </row>
    <row r="69" spans="1:11" ht="15.75">
      <c r="A69" s="7" t="s">
        <v>86</v>
      </c>
      <c r="B69" s="8" t="s">
        <v>193</v>
      </c>
      <c r="C69" s="8" t="s">
        <v>108</v>
      </c>
      <c r="D69" s="8" t="s">
        <v>115</v>
      </c>
      <c r="E69" s="8" t="s">
        <v>101</v>
      </c>
      <c r="F69" s="9" t="s">
        <v>150</v>
      </c>
      <c r="G69" s="20">
        <f>13279+2221</f>
        <v>15500</v>
      </c>
      <c r="H69" s="20"/>
      <c r="I69" s="20">
        <v>15500</v>
      </c>
      <c r="J69" s="20"/>
      <c r="K69" s="38"/>
    </row>
    <row r="70" spans="1:43" s="1" customFormat="1" ht="15.75">
      <c r="A70" s="10" t="s">
        <v>61</v>
      </c>
      <c r="B70" s="11" t="s">
        <v>193</v>
      </c>
      <c r="C70" s="11" t="s">
        <v>108</v>
      </c>
      <c r="D70" s="11" t="s">
        <v>112</v>
      </c>
      <c r="E70" s="11"/>
      <c r="F70" s="12"/>
      <c r="G70" s="19">
        <f>G71+G75</f>
        <v>40043</v>
      </c>
      <c r="H70" s="19">
        <f>H71+H75</f>
        <v>40000</v>
      </c>
      <c r="I70" s="19">
        <f>I71+I75</f>
        <v>40043</v>
      </c>
      <c r="J70" s="19">
        <f>J71+J75</f>
        <v>40000</v>
      </c>
      <c r="K70" s="37">
        <f>I70/G70*100</f>
        <v>100</v>
      </c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11" ht="15.75">
      <c r="A71" s="7" t="s">
        <v>61</v>
      </c>
      <c r="B71" s="8" t="s">
        <v>193</v>
      </c>
      <c r="C71" s="8" t="s">
        <v>108</v>
      </c>
      <c r="D71" s="8" t="s">
        <v>112</v>
      </c>
      <c r="E71" s="8" t="s">
        <v>116</v>
      </c>
      <c r="F71" s="9"/>
      <c r="G71" s="20">
        <f>G72</f>
        <v>43</v>
      </c>
      <c r="H71" s="20">
        <f aca="true" t="shared" si="6" ref="H71:J73">H72</f>
        <v>0</v>
      </c>
      <c r="I71" s="20">
        <f t="shared" si="6"/>
        <v>43</v>
      </c>
      <c r="J71" s="20">
        <f t="shared" si="6"/>
        <v>0</v>
      </c>
      <c r="K71" s="38"/>
    </row>
    <row r="72" spans="1:11" ht="15.75">
      <c r="A72" s="7" t="s">
        <v>117</v>
      </c>
      <c r="B72" s="8" t="s">
        <v>193</v>
      </c>
      <c r="C72" s="8" t="s">
        <v>108</v>
      </c>
      <c r="D72" s="8" t="s">
        <v>112</v>
      </c>
      <c r="E72" s="8" t="s">
        <v>118</v>
      </c>
      <c r="F72" s="9"/>
      <c r="G72" s="20">
        <f>G73</f>
        <v>43</v>
      </c>
      <c r="H72" s="20">
        <f t="shared" si="6"/>
        <v>0</v>
      </c>
      <c r="I72" s="20">
        <f t="shared" si="6"/>
        <v>43</v>
      </c>
      <c r="J72" s="20">
        <f t="shared" si="6"/>
        <v>0</v>
      </c>
      <c r="K72" s="38"/>
    </row>
    <row r="73" spans="1:11" ht="15.75">
      <c r="A73" s="7" t="s">
        <v>159</v>
      </c>
      <c r="B73" s="8" t="s">
        <v>193</v>
      </c>
      <c r="C73" s="8" t="s">
        <v>108</v>
      </c>
      <c r="D73" s="8" t="s">
        <v>112</v>
      </c>
      <c r="E73" s="8" t="s">
        <v>160</v>
      </c>
      <c r="F73" s="9"/>
      <c r="G73" s="20">
        <f>G74</f>
        <v>43</v>
      </c>
      <c r="H73" s="20">
        <f t="shared" si="6"/>
        <v>0</v>
      </c>
      <c r="I73" s="20">
        <f t="shared" si="6"/>
        <v>43</v>
      </c>
      <c r="J73" s="20">
        <f t="shared" si="6"/>
        <v>0</v>
      </c>
      <c r="K73" s="38"/>
    </row>
    <row r="74" spans="1:11" ht="15.75">
      <c r="A74" s="7" t="s">
        <v>86</v>
      </c>
      <c r="B74" s="8" t="s">
        <v>193</v>
      </c>
      <c r="C74" s="8" t="s">
        <v>108</v>
      </c>
      <c r="D74" s="8" t="s">
        <v>112</v>
      </c>
      <c r="E74" s="8" t="s">
        <v>160</v>
      </c>
      <c r="F74" s="9" t="s">
        <v>150</v>
      </c>
      <c r="G74" s="20">
        <f>27102+5000+43-9000-1000+500-22602</f>
        <v>43</v>
      </c>
      <c r="H74" s="20"/>
      <c r="I74" s="20">
        <v>43</v>
      </c>
      <c r="J74" s="20"/>
      <c r="K74" s="38"/>
    </row>
    <row r="75" spans="1:11" ht="15.75">
      <c r="A75" s="7" t="s">
        <v>219</v>
      </c>
      <c r="B75" s="8" t="s">
        <v>193</v>
      </c>
      <c r="C75" s="8" t="s">
        <v>108</v>
      </c>
      <c r="D75" s="8" t="s">
        <v>112</v>
      </c>
      <c r="E75" s="8" t="s">
        <v>218</v>
      </c>
      <c r="F75" s="9"/>
      <c r="G75" s="19">
        <f>G76</f>
        <v>40000</v>
      </c>
      <c r="H75" s="19">
        <f>H76</f>
        <v>40000</v>
      </c>
      <c r="I75" s="19">
        <f>I76</f>
        <v>40000</v>
      </c>
      <c r="J75" s="19">
        <f>J76</f>
        <v>40000</v>
      </c>
      <c r="K75" s="37">
        <f>I75/G75*100</f>
        <v>100</v>
      </c>
    </row>
    <row r="76" spans="1:11" ht="37.5" customHeight="1">
      <c r="A76" s="6" t="s">
        <v>365</v>
      </c>
      <c r="B76" s="8" t="s">
        <v>193</v>
      </c>
      <c r="C76" s="8" t="s">
        <v>108</v>
      </c>
      <c r="D76" s="8" t="s">
        <v>112</v>
      </c>
      <c r="E76" s="8" t="s">
        <v>364</v>
      </c>
      <c r="F76" s="9"/>
      <c r="G76" s="20">
        <f>G77+G79</f>
        <v>40000</v>
      </c>
      <c r="H76" s="20">
        <f>H77+H79</f>
        <v>40000</v>
      </c>
      <c r="I76" s="20">
        <f>I77+I79</f>
        <v>40000</v>
      </c>
      <c r="J76" s="20">
        <f>J77+J79</f>
        <v>40000</v>
      </c>
      <c r="K76" s="38"/>
    </row>
    <row r="77" spans="1:11" ht="35.25" customHeight="1">
      <c r="A77" s="6" t="s">
        <v>401</v>
      </c>
      <c r="B77" s="8" t="s">
        <v>193</v>
      </c>
      <c r="C77" s="8" t="s">
        <v>108</v>
      </c>
      <c r="D77" s="8" t="s">
        <v>112</v>
      </c>
      <c r="E77" s="8" t="s">
        <v>398</v>
      </c>
      <c r="F77" s="9"/>
      <c r="G77" s="20">
        <f>G78</f>
        <v>20000</v>
      </c>
      <c r="H77" s="20">
        <f>H78</f>
        <v>20000</v>
      </c>
      <c r="I77" s="20">
        <f>I78</f>
        <v>20000</v>
      </c>
      <c r="J77" s="20">
        <f>J78</f>
        <v>20000</v>
      </c>
      <c r="K77" s="38"/>
    </row>
    <row r="78" spans="1:11" ht="15.75">
      <c r="A78" s="7" t="s">
        <v>310</v>
      </c>
      <c r="B78" s="8" t="s">
        <v>193</v>
      </c>
      <c r="C78" s="8" t="s">
        <v>108</v>
      </c>
      <c r="D78" s="8" t="s">
        <v>112</v>
      </c>
      <c r="E78" s="8" t="s">
        <v>398</v>
      </c>
      <c r="F78" s="9" t="s">
        <v>309</v>
      </c>
      <c r="G78" s="20">
        <v>20000</v>
      </c>
      <c r="H78" s="20">
        <v>20000</v>
      </c>
      <c r="I78" s="20">
        <v>20000</v>
      </c>
      <c r="J78" s="20">
        <v>20000</v>
      </c>
      <c r="K78" s="38"/>
    </row>
    <row r="79" spans="1:11" ht="57.75">
      <c r="A79" s="6" t="s">
        <v>400</v>
      </c>
      <c r="B79" s="8" t="s">
        <v>193</v>
      </c>
      <c r="C79" s="8" t="s">
        <v>108</v>
      </c>
      <c r="D79" s="8" t="s">
        <v>112</v>
      </c>
      <c r="E79" s="8" t="s">
        <v>399</v>
      </c>
      <c r="F79" s="9"/>
      <c r="G79" s="20">
        <f>G80</f>
        <v>20000</v>
      </c>
      <c r="H79" s="20">
        <f>H80</f>
        <v>20000</v>
      </c>
      <c r="I79" s="20">
        <f>I80</f>
        <v>20000</v>
      </c>
      <c r="J79" s="20">
        <f>J80</f>
        <v>20000</v>
      </c>
      <c r="K79" s="38"/>
    </row>
    <row r="80" spans="1:11" ht="15.75">
      <c r="A80" s="7" t="s">
        <v>310</v>
      </c>
      <c r="B80" s="8" t="s">
        <v>193</v>
      </c>
      <c r="C80" s="8" t="s">
        <v>108</v>
      </c>
      <c r="D80" s="8" t="s">
        <v>112</v>
      </c>
      <c r="E80" s="8" t="s">
        <v>399</v>
      </c>
      <c r="F80" s="9" t="s">
        <v>309</v>
      </c>
      <c r="G80" s="20">
        <v>20000</v>
      </c>
      <c r="H80" s="20">
        <v>20000</v>
      </c>
      <c r="I80" s="20">
        <v>20000</v>
      </c>
      <c r="J80" s="20">
        <v>20000</v>
      </c>
      <c r="K80" s="38"/>
    </row>
    <row r="81" spans="1:43" s="1" customFormat="1" ht="15.75">
      <c r="A81" s="10" t="s">
        <v>39</v>
      </c>
      <c r="B81" s="11" t="s">
        <v>193</v>
      </c>
      <c r="C81" s="11" t="s">
        <v>108</v>
      </c>
      <c r="D81" s="11" t="s">
        <v>109</v>
      </c>
      <c r="E81" s="11"/>
      <c r="F81" s="12"/>
      <c r="G81" s="19">
        <f>G94+G82+G91+G85</f>
        <v>62730.6</v>
      </c>
      <c r="H81" s="19">
        <f>H94+H82+H91+H85</f>
        <v>4217.4</v>
      </c>
      <c r="I81" s="19">
        <f>I94+I82+I91+I85</f>
        <v>58705</v>
      </c>
      <c r="J81" s="19">
        <f>J94+J82+J91+J85</f>
        <v>1150</v>
      </c>
      <c r="K81" s="37">
        <f>I81/G81*100</f>
        <v>93.58271720659455</v>
      </c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:43" s="1" customFormat="1" ht="30.75" customHeight="1">
      <c r="A82" s="6" t="s">
        <v>64</v>
      </c>
      <c r="B82" s="8" t="s">
        <v>193</v>
      </c>
      <c r="C82" s="8" t="s">
        <v>108</v>
      </c>
      <c r="D82" s="8" t="s">
        <v>109</v>
      </c>
      <c r="E82" s="8" t="s">
        <v>81</v>
      </c>
      <c r="F82" s="9"/>
      <c r="G82" s="20">
        <f aca="true" t="shared" si="7" ref="G82:J83">G83</f>
        <v>57088.5</v>
      </c>
      <c r="H82" s="20">
        <f t="shared" si="7"/>
        <v>0</v>
      </c>
      <c r="I82" s="20">
        <f t="shared" si="7"/>
        <v>56148.9</v>
      </c>
      <c r="J82" s="20">
        <f t="shared" si="7"/>
        <v>0</v>
      </c>
      <c r="K82" s="38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:43" s="1" customFormat="1" ht="15.75">
      <c r="A83" s="7" t="s">
        <v>14</v>
      </c>
      <c r="B83" s="8" t="s">
        <v>193</v>
      </c>
      <c r="C83" s="8" t="s">
        <v>108</v>
      </c>
      <c r="D83" s="8" t="s">
        <v>109</v>
      </c>
      <c r="E83" s="8" t="s">
        <v>212</v>
      </c>
      <c r="F83" s="9"/>
      <c r="G83" s="20">
        <f t="shared" si="7"/>
        <v>57088.5</v>
      </c>
      <c r="H83" s="20">
        <f t="shared" si="7"/>
        <v>0</v>
      </c>
      <c r="I83" s="20">
        <f t="shared" si="7"/>
        <v>56148.9</v>
      </c>
      <c r="J83" s="20">
        <f t="shared" si="7"/>
        <v>0</v>
      </c>
      <c r="K83" s="38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:43" s="1" customFormat="1" ht="15.75">
      <c r="A84" s="7" t="s">
        <v>147</v>
      </c>
      <c r="B84" s="8" t="s">
        <v>193</v>
      </c>
      <c r="C84" s="8" t="s">
        <v>108</v>
      </c>
      <c r="D84" s="8" t="s">
        <v>109</v>
      </c>
      <c r="E84" s="8" t="s">
        <v>212</v>
      </c>
      <c r="F84" s="9" t="s">
        <v>148</v>
      </c>
      <c r="G84" s="20">
        <f>45360.3+300+12850+468-468+942-192+188.3+307.6+102.7-1105.3-40-1080-302-243.1</f>
        <v>57088.5</v>
      </c>
      <c r="H84" s="20"/>
      <c r="I84" s="20">
        <v>56148.9</v>
      </c>
      <c r="J84" s="20"/>
      <c r="K84" s="38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:43" s="1" customFormat="1" ht="29.25">
      <c r="A85" s="6" t="s">
        <v>67</v>
      </c>
      <c r="B85" s="8" t="s">
        <v>193</v>
      </c>
      <c r="C85" s="8" t="s">
        <v>108</v>
      </c>
      <c r="D85" s="8" t="s">
        <v>109</v>
      </c>
      <c r="E85" s="8" t="s">
        <v>44</v>
      </c>
      <c r="F85" s="9"/>
      <c r="G85" s="20">
        <f>G86+G88</f>
        <v>2867.4</v>
      </c>
      <c r="H85" s="20">
        <f>H86+H88</f>
        <v>2817.4</v>
      </c>
      <c r="I85" s="20">
        <f>I86+I88</f>
        <v>50</v>
      </c>
      <c r="J85" s="20">
        <f>J86+J88</f>
        <v>0</v>
      </c>
      <c r="K85" s="38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:43" s="1" customFormat="1" ht="15.75">
      <c r="A86" s="6" t="s">
        <v>173</v>
      </c>
      <c r="B86" s="8" t="s">
        <v>193</v>
      </c>
      <c r="C86" s="8" t="s">
        <v>108</v>
      </c>
      <c r="D86" s="8" t="s">
        <v>109</v>
      </c>
      <c r="E86" s="8" t="s">
        <v>174</v>
      </c>
      <c r="F86" s="9"/>
      <c r="G86" s="20">
        <f>G87</f>
        <v>50</v>
      </c>
      <c r="H86" s="20">
        <f>H87</f>
        <v>0</v>
      </c>
      <c r="I86" s="20">
        <f>I87</f>
        <v>50</v>
      </c>
      <c r="J86" s="20">
        <f>J87</f>
        <v>0</v>
      </c>
      <c r="K86" s="38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:43" s="1" customFormat="1" ht="15.75">
      <c r="A87" s="7" t="s">
        <v>86</v>
      </c>
      <c r="B87" s="8" t="s">
        <v>193</v>
      </c>
      <c r="C87" s="8" t="s">
        <v>108</v>
      </c>
      <c r="D87" s="8" t="s">
        <v>109</v>
      </c>
      <c r="E87" s="8" t="s">
        <v>174</v>
      </c>
      <c r="F87" s="9" t="s">
        <v>150</v>
      </c>
      <c r="G87" s="20">
        <v>50</v>
      </c>
      <c r="H87" s="19"/>
      <c r="I87" s="20">
        <v>50</v>
      </c>
      <c r="J87" s="20"/>
      <c r="K87" s="38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:43" s="1" customFormat="1" ht="57.75">
      <c r="A88" s="6" t="s">
        <v>501</v>
      </c>
      <c r="B88" s="8" t="s">
        <v>193</v>
      </c>
      <c r="C88" s="8" t="s">
        <v>108</v>
      </c>
      <c r="D88" s="8" t="s">
        <v>109</v>
      </c>
      <c r="E88" s="8" t="s">
        <v>482</v>
      </c>
      <c r="F88" s="9"/>
      <c r="G88" s="20">
        <f aca="true" t="shared" si="8" ref="G88:J89">G89</f>
        <v>2817.4</v>
      </c>
      <c r="H88" s="20">
        <f t="shared" si="8"/>
        <v>2817.4</v>
      </c>
      <c r="I88" s="20">
        <f t="shared" si="8"/>
        <v>0</v>
      </c>
      <c r="J88" s="20">
        <f t="shared" si="8"/>
        <v>0</v>
      </c>
      <c r="K88" s="3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:43" s="1" customFormat="1" ht="29.25">
      <c r="A89" s="6" t="s">
        <v>484</v>
      </c>
      <c r="B89" s="8" t="s">
        <v>193</v>
      </c>
      <c r="C89" s="8" t="s">
        <v>108</v>
      </c>
      <c r="D89" s="8" t="s">
        <v>109</v>
      </c>
      <c r="E89" s="8" t="s">
        <v>483</v>
      </c>
      <c r="F89" s="9"/>
      <c r="G89" s="20">
        <f t="shared" si="8"/>
        <v>2817.4</v>
      </c>
      <c r="H89" s="20">
        <f t="shared" si="8"/>
        <v>2817.4</v>
      </c>
      <c r="I89" s="20">
        <f t="shared" si="8"/>
        <v>0</v>
      </c>
      <c r="J89" s="20">
        <f t="shared" si="8"/>
        <v>0</v>
      </c>
      <c r="K89" s="38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:43" s="1" customFormat="1" ht="15.75">
      <c r="A90" s="7" t="s">
        <v>86</v>
      </c>
      <c r="B90" s="8" t="s">
        <v>193</v>
      </c>
      <c r="C90" s="8" t="s">
        <v>108</v>
      </c>
      <c r="D90" s="8" t="s">
        <v>109</v>
      </c>
      <c r="E90" s="8" t="s">
        <v>483</v>
      </c>
      <c r="F90" s="9" t="s">
        <v>150</v>
      </c>
      <c r="G90" s="20">
        <v>2817.4</v>
      </c>
      <c r="H90" s="20">
        <v>2817.4</v>
      </c>
      <c r="I90" s="20">
        <v>0</v>
      </c>
      <c r="J90" s="20">
        <v>0</v>
      </c>
      <c r="K90" s="38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:43" s="1" customFormat="1" ht="15.75">
      <c r="A91" s="7" t="s">
        <v>219</v>
      </c>
      <c r="B91" s="8" t="s">
        <v>193</v>
      </c>
      <c r="C91" s="8" t="s">
        <v>108</v>
      </c>
      <c r="D91" s="8" t="s">
        <v>109</v>
      </c>
      <c r="E91" s="8" t="s">
        <v>218</v>
      </c>
      <c r="F91" s="9"/>
      <c r="G91" s="19">
        <f aca="true" t="shared" si="9" ref="G91:J92">G92</f>
        <v>1400</v>
      </c>
      <c r="H91" s="19">
        <f t="shared" si="9"/>
        <v>1400</v>
      </c>
      <c r="I91" s="19">
        <f t="shared" si="9"/>
        <v>1150</v>
      </c>
      <c r="J91" s="19">
        <f t="shared" si="9"/>
        <v>1150</v>
      </c>
      <c r="K91" s="37">
        <f>I91/G91*100</f>
        <v>82.14285714285714</v>
      </c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:43" s="1" customFormat="1" ht="53.25" customHeight="1">
      <c r="A92" s="6" t="s">
        <v>502</v>
      </c>
      <c r="B92" s="8" t="s">
        <v>193</v>
      </c>
      <c r="C92" s="8" t="s">
        <v>108</v>
      </c>
      <c r="D92" s="8" t="s">
        <v>109</v>
      </c>
      <c r="E92" s="8" t="s">
        <v>465</v>
      </c>
      <c r="F92" s="9"/>
      <c r="G92" s="20">
        <f t="shared" si="9"/>
        <v>1400</v>
      </c>
      <c r="H92" s="20">
        <f t="shared" si="9"/>
        <v>1400</v>
      </c>
      <c r="I92" s="20">
        <f t="shared" si="9"/>
        <v>1150</v>
      </c>
      <c r="J92" s="20">
        <f t="shared" si="9"/>
        <v>1150</v>
      </c>
      <c r="K92" s="38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:43" s="1" customFormat="1" ht="43.5">
      <c r="A93" s="6" t="s">
        <v>466</v>
      </c>
      <c r="B93" s="8" t="s">
        <v>193</v>
      </c>
      <c r="C93" s="8" t="s">
        <v>108</v>
      </c>
      <c r="D93" s="8" t="s">
        <v>109</v>
      </c>
      <c r="E93" s="8" t="s">
        <v>465</v>
      </c>
      <c r="F93" s="9" t="s">
        <v>406</v>
      </c>
      <c r="G93" s="20">
        <v>1400</v>
      </c>
      <c r="H93" s="20">
        <v>1400</v>
      </c>
      <c r="I93" s="20">
        <v>1150</v>
      </c>
      <c r="J93" s="20">
        <v>1150</v>
      </c>
      <c r="K93" s="38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:11" ht="15.75">
      <c r="A94" s="7" t="s">
        <v>78</v>
      </c>
      <c r="B94" s="8" t="s">
        <v>193</v>
      </c>
      <c r="C94" s="8" t="s">
        <v>108</v>
      </c>
      <c r="D94" s="8" t="s">
        <v>109</v>
      </c>
      <c r="E94" s="8" t="s">
        <v>79</v>
      </c>
      <c r="F94" s="9"/>
      <c r="G94" s="19">
        <f>G95+G98</f>
        <v>1374.7</v>
      </c>
      <c r="H94" s="19">
        <f>H95+H98</f>
        <v>0</v>
      </c>
      <c r="I94" s="19">
        <f>I95+I98</f>
        <v>1356.1</v>
      </c>
      <c r="J94" s="19">
        <f>J95+J98</f>
        <v>0</v>
      </c>
      <c r="K94" s="37">
        <f>I94/G94*100</f>
        <v>98.6469775223685</v>
      </c>
    </row>
    <row r="95" spans="1:11" ht="43.5">
      <c r="A95" s="6" t="s">
        <v>203</v>
      </c>
      <c r="B95" s="8" t="s">
        <v>193</v>
      </c>
      <c r="C95" s="8" t="s">
        <v>108</v>
      </c>
      <c r="D95" s="8" t="s">
        <v>109</v>
      </c>
      <c r="E95" s="8" t="s">
        <v>209</v>
      </c>
      <c r="F95" s="9"/>
      <c r="G95" s="20">
        <f>G96+G97</f>
        <v>995</v>
      </c>
      <c r="H95" s="20">
        <f>H96+H97</f>
        <v>0</v>
      </c>
      <c r="I95" s="20">
        <f>I96+I97</f>
        <v>995</v>
      </c>
      <c r="J95" s="20">
        <f>J96+J97</f>
        <v>0</v>
      </c>
      <c r="K95" s="38"/>
    </row>
    <row r="96" spans="1:11" ht="15.75">
      <c r="A96" s="6" t="s">
        <v>261</v>
      </c>
      <c r="B96" s="8" t="s">
        <v>193</v>
      </c>
      <c r="C96" s="8" t="s">
        <v>108</v>
      </c>
      <c r="D96" s="8" t="s">
        <v>109</v>
      </c>
      <c r="E96" s="8" t="s">
        <v>209</v>
      </c>
      <c r="F96" s="9" t="s">
        <v>53</v>
      </c>
      <c r="G96" s="20">
        <f>350+140</f>
        <v>490</v>
      </c>
      <c r="H96" s="20"/>
      <c r="I96" s="20">
        <v>490</v>
      </c>
      <c r="J96" s="20"/>
      <c r="K96" s="38"/>
    </row>
    <row r="97" spans="1:11" ht="15.75">
      <c r="A97" s="7" t="s">
        <v>86</v>
      </c>
      <c r="B97" s="8" t="s">
        <v>193</v>
      </c>
      <c r="C97" s="8" t="s">
        <v>108</v>
      </c>
      <c r="D97" s="8" t="s">
        <v>109</v>
      </c>
      <c r="E97" s="8" t="s">
        <v>209</v>
      </c>
      <c r="F97" s="9" t="s">
        <v>150</v>
      </c>
      <c r="G97" s="20">
        <f>100+895-350-140</f>
        <v>505</v>
      </c>
      <c r="H97" s="20"/>
      <c r="I97" s="20">
        <v>505</v>
      </c>
      <c r="J97" s="20"/>
      <c r="K97" s="38"/>
    </row>
    <row r="98" spans="1:11" ht="44.25" customHeight="1">
      <c r="A98" s="15" t="s">
        <v>240</v>
      </c>
      <c r="B98" s="8" t="s">
        <v>193</v>
      </c>
      <c r="C98" s="8" t="s">
        <v>108</v>
      </c>
      <c r="D98" s="8" t="s">
        <v>109</v>
      </c>
      <c r="E98" s="8" t="s">
        <v>143</v>
      </c>
      <c r="F98" s="9"/>
      <c r="G98" s="20">
        <f>G99</f>
        <v>379.7</v>
      </c>
      <c r="H98" s="20">
        <f>H99</f>
        <v>0</v>
      </c>
      <c r="I98" s="20">
        <f>I99</f>
        <v>361.1</v>
      </c>
      <c r="J98" s="20">
        <f>J99</f>
        <v>0</v>
      </c>
      <c r="K98" s="38"/>
    </row>
    <row r="99" spans="1:11" ht="15.75">
      <c r="A99" s="7" t="s">
        <v>86</v>
      </c>
      <c r="B99" s="8" t="s">
        <v>193</v>
      </c>
      <c r="C99" s="8" t="s">
        <v>108</v>
      </c>
      <c r="D99" s="8" t="s">
        <v>109</v>
      </c>
      <c r="E99" s="8" t="s">
        <v>143</v>
      </c>
      <c r="F99" s="8" t="s">
        <v>150</v>
      </c>
      <c r="G99" s="20">
        <f>300+79.7</f>
        <v>379.7</v>
      </c>
      <c r="H99" s="20"/>
      <c r="I99" s="20">
        <v>361.1</v>
      </c>
      <c r="J99" s="20"/>
      <c r="K99" s="38"/>
    </row>
    <row r="100" spans="1:43" s="1" customFormat="1" ht="15.75">
      <c r="A100" s="10" t="s">
        <v>12</v>
      </c>
      <c r="B100" s="11" t="s">
        <v>193</v>
      </c>
      <c r="C100" s="11" t="s">
        <v>119</v>
      </c>
      <c r="D100" s="11"/>
      <c r="E100" s="11"/>
      <c r="F100" s="12"/>
      <c r="G100" s="19">
        <f>G101+G124+G141</f>
        <v>534188.6000000001</v>
      </c>
      <c r="H100" s="19">
        <f>H101+H124+H141</f>
        <v>309115.9</v>
      </c>
      <c r="I100" s="19">
        <f>I101+I124+I141</f>
        <v>470614.2</v>
      </c>
      <c r="J100" s="19">
        <f>J101+J124+J141</f>
        <v>249582.59999999998</v>
      </c>
      <c r="K100" s="37">
        <f>I100/G100*100</f>
        <v>88.09888492566107</v>
      </c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:43" s="1" customFormat="1" ht="15.75">
      <c r="A101" s="10" t="s">
        <v>41</v>
      </c>
      <c r="B101" s="11" t="s">
        <v>193</v>
      </c>
      <c r="C101" s="11" t="s">
        <v>119</v>
      </c>
      <c r="D101" s="11" t="s">
        <v>106</v>
      </c>
      <c r="E101" s="11"/>
      <c r="F101" s="12"/>
      <c r="G101" s="19">
        <f>G112+G102+G109</f>
        <v>151367.9</v>
      </c>
      <c r="H101" s="19">
        <f>H112+H102+H109</f>
        <v>77410.7</v>
      </c>
      <c r="I101" s="19">
        <f>I112+I102+I109</f>
        <v>149705.7</v>
      </c>
      <c r="J101" s="19">
        <f>J112+J102+J109</f>
        <v>77410.7</v>
      </c>
      <c r="K101" s="37">
        <f>I101/G101*100</f>
        <v>98.90188078185666</v>
      </c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:43" s="1" customFormat="1" ht="29.25">
      <c r="A102" s="6" t="s">
        <v>274</v>
      </c>
      <c r="B102" s="8" t="s">
        <v>193</v>
      </c>
      <c r="C102" s="8" t="s">
        <v>119</v>
      </c>
      <c r="D102" s="8" t="s">
        <v>106</v>
      </c>
      <c r="E102" s="8" t="s">
        <v>275</v>
      </c>
      <c r="F102" s="9"/>
      <c r="G102" s="19">
        <f>G105+G108</f>
        <v>121908.6</v>
      </c>
      <c r="H102" s="19">
        <f>H105+H108</f>
        <v>77410.7</v>
      </c>
      <c r="I102" s="19">
        <f>I105+I108</f>
        <v>121901.5</v>
      </c>
      <c r="J102" s="19">
        <f>J105+J108</f>
        <v>77410.7</v>
      </c>
      <c r="K102" s="37">
        <f>I102/G102*100</f>
        <v>99.9941759646161</v>
      </c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:43" s="1" customFormat="1" ht="72">
      <c r="A103" s="6" t="s">
        <v>276</v>
      </c>
      <c r="B103" s="8" t="s">
        <v>193</v>
      </c>
      <c r="C103" s="8" t="s">
        <v>119</v>
      </c>
      <c r="D103" s="8" t="s">
        <v>106</v>
      </c>
      <c r="E103" s="8" t="s">
        <v>277</v>
      </c>
      <c r="F103" s="9"/>
      <c r="G103" s="20">
        <f aca="true" t="shared" si="10" ref="G103:J104">G104</f>
        <v>60954.3</v>
      </c>
      <c r="H103" s="20">
        <f t="shared" si="10"/>
        <v>55696.5</v>
      </c>
      <c r="I103" s="20">
        <f t="shared" si="10"/>
        <v>60948.1</v>
      </c>
      <c r="J103" s="20">
        <f t="shared" si="10"/>
        <v>55696.5</v>
      </c>
      <c r="K103" s="38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:43" s="1" customFormat="1" ht="57.75">
      <c r="A104" s="6" t="s">
        <v>278</v>
      </c>
      <c r="B104" s="8" t="s">
        <v>193</v>
      </c>
      <c r="C104" s="8" t="s">
        <v>119</v>
      </c>
      <c r="D104" s="8" t="s">
        <v>106</v>
      </c>
      <c r="E104" s="8" t="s">
        <v>279</v>
      </c>
      <c r="F104" s="9"/>
      <c r="G104" s="20">
        <f t="shared" si="10"/>
        <v>60954.3</v>
      </c>
      <c r="H104" s="20">
        <f t="shared" si="10"/>
        <v>55696.5</v>
      </c>
      <c r="I104" s="20">
        <f t="shared" si="10"/>
        <v>60948.1</v>
      </c>
      <c r="J104" s="20">
        <f t="shared" si="10"/>
        <v>55696.5</v>
      </c>
      <c r="K104" s="38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:43" s="1" customFormat="1" ht="47.25" customHeight="1">
      <c r="A105" s="6" t="s">
        <v>420</v>
      </c>
      <c r="B105" s="8" t="s">
        <v>193</v>
      </c>
      <c r="C105" s="8" t="s">
        <v>119</v>
      </c>
      <c r="D105" s="8" t="s">
        <v>106</v>
      </c>
      <c r="E105" s="8" t="s">
        <v>279</v>
      </c>
      <c r="F105" s="9" t="s">
        <v>406</v>
      </c>
      <c r="G105" s="20">
        <f>5257.8+43428.4+12268.1</f>
        <v>60954.3</v>
      </c>
      <c r="H105" s="20">
        <f>43428.4+12268.1</f>
        <v>55696.5</v>
      </c>
      <c r="I105" s="20">
        <v>60948.1</v>
      </c>
      <c r="J105" s="20">
        <v>55696.5</v>
      </c>
      <c r="K105" s="38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:43" s="1" customFormat="1" ht="33" customHeight="1">
      <c r="A106" s="6" t="s">
        <v>280</v>
      </c>
      <c r="B106" s="8" t="s">
        <v>193</v>
      </c>
      <c r="C106" s="8" t="s">
        <v>119</v>
      </c>
      <c r="D106" s="8" t="s">
        <v>106</v>
      </c>
      <c r="E106" s="8" t="s">
        <v>281</v>
      </c>
      <c r="F106" s="9"/>
      <c r="G106" s="20">
        <f aca="true" t="shared" si="11" ref="G106:J107">G107</f>
        <v>60954.299999999996</v>
      </c>
      <c r="H106" s="20">
        <f t="shared" si="11"/>
        <v>21714.2</v>
      </c>
      <c r="I106" s="20">
        <f t="shared" si="11"/>
        <v>60953.4</v>
      </c>
      <c r="J106" s="20">
        <f t="shared" si="11"/>
        <v>21714.2</v>
      </c>
      <c r="K106" s="38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:43" s="1" customFormat="1" ht="35.25" customHeight="1">
      <c r="A107" s="6" t="s">
        <v>274</v>
      </c>
      <c r="B107" s="8" t="s">
        <v>193</v>
      </c>
      <c r="C107" s="8" t="s">
        <v>119</v>
      </c>
      <c r="D107" s="8" t="s">
        <v>106</v>
      </c>
      <c r="E107" s="8" t="s">
        <v>282</v>
      </c>
      <c r="F107" s="9"/>
      <c r="G107" s="20">
        <f t="shared" si="11"/>
        <v>60954.299999999996</v>
      </c>
      <c r="H107" s="20">
        <f t="shared" si="11"/>
        <v>21714.2</v>
      </c>
      <c r="I107" s="20">
        <f t="shared" si="11"/>
        <v>60953.4</v>
      </c>
      <c r="J107" s="20">
        <f t="shared" si="11"/>
        <v>21714.2</v>
      </c>
      <c r="K107" s="38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:43" s="1" customFormat="1" ht="52.5" customHeight="1">
      <c r="A108" s="6" t="s">
        <v>420</v>
      </c>
      <c r="B108" s="8" t="s">
        <v>193</v>
      </c>
      <c r="C108" s="8" t="s">
        <v>119</v>
      </c>
      <c r="D108" s="8" t="s">
        <v>106</v>
      </c>
      <c r="E108" s="8" t="s">
        <v>282</v>
      </c>
      <c r="F108" s="9" t="s">
        <v>406</v>
      </c>
      <c r="G108" s="20">
        <f>8763+9446.5-683.5+21714.2+16160.7+5553.5-0.1</f>
        <v>60954.299999999996</v>
      </c>
      <c r="H108" s="20">
        <v>21714.2</v>
      </c>
      <c r="I108" s="20">
        <v>60953.4</v>
      </c>
      <c r="J108" s="20">
        <v>21714.2</v>
      </c>
      <c r="K108" s="3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:43" s="1" customFormat="1" ht="18.75" customHeight="1">
      <c r="A109" s="7" t="s">
        <v>291</v>
      </c>
      <c r="B109" s="8" t="s">
        <v>193</v>
      </c>
      <c r="C109" s="8" t="s">
        <v>119</v>
      </c>
      <c r="D109" s="8" t="s">
        <v>106</v>
      </c>
      <c r="E109" s="8" t="s">
        <v>290</v>
      </c>
      <c r="F109" s="9"/>
      <c r="G109" s="20">
        <f>G110</f>
        <v>2561.5000000000005</v>
      </c>
      <c r="H109" s="20">
        <f aca="true" t="shared" si="12" ref="H109:J110">H110</f>
        <v>0</v>
      </c>
      <c r="I109" s="20">
        <f t="shared" si="12"/>
        <v>2343.5</v>
      </c>
      <c r="J109" s="20">
        <f t="shared" si="12"/>
        <v>0</v>
      </c>
      <c r="K109" s="38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:43" s="1" customFormat="1" ht="18.75" customHeight="1">
      <c r="A110" s="7" t="s">
        <v>292</v>
      </c>
      <c r="B110" s="8" t="s">
        <v>193</v>
      </c>
      <c r="C110" s="8" t="s">
        <v>119</v>
      </c>
      <c r="D110" s="8" t="s">
        <v>106</v>
      </c>
      <c r="E110" s="8" t="s">
        <v>293</v>
      </c>
      <c r="F110" s="9"/>
      <c r="G110" s="20">
        <f>G111</f>
        <v>2561.5000000000005</v>
      </c>
      <c r="H110" s="20">
        <f t="shared" si="12"/>
        <v>0</v>
      </c>
      <c r="I110" s="20">
        <f t="shared" si="12"/>
        <v>2343.5</v>
      </c>
      <c r="J110" s="20">
        <f t="shared" si="12"/>
        <v>0</v>
      </c>
      <c r="K110" s="38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:43" s="1" customFormat="1" ht="18.75" customHeight="1">
      <c r="A111" s="7" t="s">
        <v>86</v>
      </c>
      <c r="B111" s="8" t="s">
        <v>193</v>
      </c>
      <c r="C111" s="8" t="s">
        <v>119</v>
      </c>
      <c r="D111" s="8" t="s">
        <v>106</v>
      </c>
      <c r="E111" s="8" t="s">
        <v>293</v>
      </c>
      <c r="F111" s="9" t="s">
        <v>150</v>
      </c>
      <c r="G111" s="20">
        <f>683.5+1577.3+21.4+20.1+61.9+81+116.3</f>
        <v>2561.5000000000005</v>
      </c>
      <c r="H111" s="19"/>
      <c r="I111" s="20">
        <v>2343.5</v>
      </c>
      <c r="J111" s="20"/>
      <c r="K111" s="38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:43" s="1" customFormat="1" ht="16.5" customHeight="1">
      <c r="A112" s="7" t="s">
        <v>78</v>
      </c>
      <c r="B112" s="8" t="s">
        <v>193</v>
      </c>
      <c r="C112" s="8" t="s">
        <v>119</v>
      </c>
      <c r="D112" s="8" t="s">
        <v>106</v>
      </c>
      <c r="E112" s="8" t="s">
        <v>79</v>
      </c>
      <c r="F112" s="9"/>
      <c r="G112" s="20">
        <f>G114+G116+G120+G122+G117</f>
        <v>26897.8</v>
      </c>
      <c r="H112" s="20">
        <f>H114+H116+H120+H122+H117</f>
        <v>0</v>
      </c>
      <c r="I112" s="20">
        <f>I114+I116+I120+I122+I117</f>
        <v>25460.7</v>
      </c>
      <c r="J112" s="20">
        <f>J114+J116+J120+J122+J117</f>
        <v>0</v>
      </c>
      <c r="K112" s="38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:43" s="1" customFormat="1" ht="63.75" customHeight="1">
      <c r="A113" s="6" t="s">
        <v>247</v>
      </c>
      <c r="B113" s="8" t="s">
        <v>193</v>
      </c>
      <c r="C113" s="8" t="s">
        <v>119</v>
      </c>
      <c r="D113" s="8" t="s">
        <v>106</v>
      </c>
      <c r="E113" s="8" t="s">
        <v>145</v>
      </c>
      <c r="F113" s="9"/>
      <c r="G113" s="20">
        <f>G114</f>
        <v>5052</v>
      </c>
      <c r="H113" s="20">
        <f>H114</f>
        <v>0</v>
      </c>
      <c r="I113" s="20">
        <f>I114</f>
        <v>5050.7</v>
      </c>
      <c r="J113" s="20">
        <f>J114</f>
        <v>0</v>
      </c>
      <c r="K113" s="38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:43" s="1" customFormat="1" ht="15.75">
      <c r="A114" s="7" t="s">
        <v>86</v>
      </c>
      <c r="B114" s="8" t="s">
        <v>193</v>
      </c>
      <c r="C114" s="8" t="s">
        <v>119</v>
      </c>
      <c r="D114" s="8" t="s">
        <v>106</v>
      </c>
      <c r="E114" s="8" t="s">
        <v>145</v>
      </c>
      <c r="F114" s="9" t="s">
        <v>150</v>
      </c>
      <c r="G114" s="20">
        <v>5052</v>
      </c>
      <c r="H114" s="20"/>
      <c r="I114" s="20">
        <v>5050.7</v>
      </c>
      <c r="J114" s="20"/>
      <c r="K114" s="38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:43" s="1" customFormat="1" ht="42.75">
      <c r="A115" s="39" t="s">
        <v>204</v>
      </c>
      <c r="B115" s="8" t="s">
        <v>193</v>
      </c>
      <c r="C115" s="8" t="s">
        <v>119</v>
      </c>
      <c r="D115" s="8" t="s">
        <v>106</v>
      </c>
      <c r="E115" s="8" t="s">
        <v>249</v>
      </c>
      <c r="F115" s="9"/>
      <c r="G115" s="20">
        <f>G116</f>
        <v>1600</v>
      </c>
      <c r="H115" s="20">
        <f>H116</f>
        <v>0</v>
      </c>
      <c r="I115" s="20">
        <f>I116</f>
        <v>1395.9</v>
      </c>
      <c r="J115" s="20">
        <f>J116</f>
        <v>0</v>
      </c>
      <c r="K115" s="38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:43" s="1" customFormat="1" ht="15.75">
      <c r="A116" s="7" t="s">
        <v>86</v>
      </c>
      <c r="B116" s="8" t="s">
        <v>193</v>
      </c>
      <c r="C116" s="8" t="s">
        <v>119</v>
      </c>
      <c r="D116" s="8" t="s">
        <v>106</v>
      </c>
      <c r="E116" s="8" t="s">
        <v>249</v>
      </c>
      <c r="F116" s="9" t="s">
        <v>150</v>
      </c>
      <c r="G116" s="20">
        <v>1600</v>
      </c>
      <c r="H116" s="20"/>
      <c r="I116" s="20">
        <v>1395.9</v>
      </c>
      <c r="J116" s="20"/>
      <c r="K116" s="38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:43" s="1" customFormat="1" ht="42.75">
      <c r="A117" s="40" t="s">
        <v>248</v>
      </c>
      <c r="B117" s="8" t="s">
        <v>193</v>
      </c>
      <c r="C117" s="8" t="s">
        <v>119</v>
      </c>
      <c r="D117" s="8" t="s">
        <v>106</v>
      </c>
      <c r="E117" s="8" t="s">
        <v>207</v>
      </c>
      <c r="F117" s="9"/>
      <c r="G117" s="20">
        <f>G118+G119</f>
        <v>6063.8</v>
      </c>
      <c r="H117" s="20">
        <f>H118+H119</f>
        <v>0</v>
      </c>
      <c r="I117" s="20">
        <f>I118+I119</f>
        <v>5604.200000000001</v>
      </c>
      <c r="J117" s="20">
        <f>J118+J119</f>
        <v>0</v>
      </c>
      <c r="K117" s="38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:43" s="1" customFormat="1" ht="21" customHeight="1">
      <c r="A118" s="6" t="s">
        <v>261</v>
      </c>
      <c r="B118" s="8" t="s">
        <v>193</v>
      </c>
      <c r="C118" s="8" t="s">
        <v>119</v>
      </c>
      <c r="D118" s="8" t="s">
        <v>106</v>
      </c>
      <c r="E118" s="8" t="s">
        <v>207</v>
      </c>
      <c r="F118" s="9" t="s">
        <v>53</v>
      </c>
      <c r="G118" s="20">
        <v>6056.2</v>
      </c>
      <c r="H118" s="20"/>
      <c r="I118" s="20">
        <v>5596.6</v>
      </c>
      <c r="J118" s="20"/>
      <c r="K118" s="3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:43" s="1" customFormat="1" ht="21" customHeight="1">
      <c r="A119" s="7" t="s">
        <v>86</v>
      </c>
      <c r="B119" s="8" t="s">
        <v>193</v>
      </c>
      <c r="C119" s="8" t="s">
        <v>119</v>
      </c>
      <c r="D119" s="8" t="s">
        <v>106</v>
      </c>
      <c r="E119" s="8" t="s">
        <v>207</v>
      </c>
      <c r="F119" s="9" t="s">
        <v>150</v>
      </c>
      <c r="G119" s="20">
        <v>7.6</v>
      </c>
      <c r="H119" s="20"/>
      <c r="I119" s="20">
        <v>7.6</v>
      </c>
      <c r="J119" s="20"/>
      <c r="K119" s="38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:43" s="1" customFormat="1" ht="51" customHeight="1">
      <c r="A120" s="6" t="s">
        <v>294</v>
      </c>
      <c r="B120" s="8" t="s">
        <v>193</v>
      </c>
      <c r="C120" s="8" t="s">
        <v>119</v>
      </c>
      <c r="D120" s="8" t="s">
        <v>106</v>
      </c>
      <c r="E120" s="8" t="s">
        <v>295</v>
      </c>
      <c r="F120" s="9"/>
      <c r="G120" s="20">
        <f>G121</f>
        <v>14086</v>
      </c>
      <c r="H120" s="20">
        <f>H121</f>
        <v>0</v>
      </c>
      <c r="I120" s="20">
        <f>I121</f>
        <v>13313.9</v>
      </c>
      <c r="J120" s="20">
        <f>J121</f>
        <v>0</v>
      </c>
      <c r="K120" s="38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:43" s="1" customFormat="1" ht="15.75">
      <c r="A121" s="7" t="s">
        <v>86</v>
      </c>
      <c r="B121" s="8" t="s">
        <v>193</v>
      </c>
      <c r="C121" s="8" t="s">
        <v>119</v>
      </c>
      <c r="D121" s="8" t="s">
        <v>106</v>
      </c>
      <c r="E121" s="8" t="s">
        <v>295</v>
      </c>
      <c r="F121" s="9" t="s">
        <v>150</v>
      </c>
      <c r="G121" s="20">
        <f>600+500+7000+6526-50-490</f>
        <v>14086</v>
      </c>
      <c r="H121" s="20"/>
      <c r="I121" s="20">
        <v>13313.9</v>
      </c>
      <c r="J121" s="20"/>
      <c r="K121" s="38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:43" s="1" customFormat="1" ht="75.75" customHeight="1">
      <c r="A122" s="41" t="s">
        <v>296</v>
      </c>
      <c r="B122" s="8" t="s">
        <v>193</v>
      </c>
      <c r="C122" s="8" t="s">
        <v>119</v>
      </c>
      <c r="D122" s="8" t="s">
        <v>106</v>
      </c>
      <c r="E122" s="8" t="s">
        <v>297</v>
      </c>
      <c r="F122" s="9"/>
      <c r="G122" s="20">
        <f>G123</f>
        <v>96</v>
      </c>
      <c r="H122" s="20">
        <f>H123</f>
        <v>0</v>
      </c>
      <c r="I122" s="20">
        <f>I123</f>
        <v>96</v>
      </c>
      <c r="J122" s="20">
        <f>J123</f>
        <v>0</v>
      </c>
      <c r="K122" s="38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:43" s="1" customFormat="1" ht="19.5" customHeight="1">
      <c r="A123" s="6" t="s">
        <v>86</v>
      </c>
      <c r="B123" s="8" t="s">
        <v>193</v>
      </c>
      <c r="C123" s="8" t="s">
        <v>119</v>
      </c>
      <c r="D123" s="8" t="s">
        <v>106</v>
      </c>
      <c r="E123" s="8" t="s">
        <v>297</v>
      </c>
      <c r="F123" s="9" t="s">
        <v>150</v>
      </c>
      <c r="G123" s="20">
        <v>96</v>
      </c>
      <c r="H123" s="20"/>
      <c r="I123" s="20">
        <v>96</v>
      </c>
      <c r="J123" s="20"/>
      <c r="K123" s="38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:43" s="1" customFormat="1" ht="15.75">
      <c r="A124" s="10" t="s">
        <v>216</v>
      </c>
      <c r="B124" s="11" t="s">
        <v>193</v>
      </c>
      <c r="C124" s="11" t="s">
        <v>119</v>
      </c>
      <c r="D124" s="11" t="s">
        <v>107</v>
      </c>
      <c r="E124" s="11"/>
      <c r="F124" s="12"/>
      <c r="G124" s="19">
        <f>G134+G128+G125</f>
        <v>287533.9</v>
      </c>
      <c r="H124" s="19">
        <f>H134+H128+H125</f>
        <v>228865.2</v>
      </c>
      <c r="I124" s="19">
        <f>I134+I128+I125</f>
        <v>227762.8</v>
      </c>
      <c r="J124" s="19">
        <f>J134+J128+J125</f>
        <v>169331.9</v>
      </c>
      <c r="K124" s="37">
        <f>I124/G124*100</f>
        <v>79.21250329091629</v>
      </c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:43" s="1" customFormat="1" ht="15.75">
      <c r="A125" s="6" t="s">
        <v>446</v>
      </c>
      <c r="B125" s="8" t="s">
        <v>193</v>
      </c>
      <c r="C125" s="8" t="s">
        <v>119</v>
      </c>
      <c r="D125" s="8" t="s">
        <v>107</v>
      </c>
      <c r="E125" s="8" t="s">
        <v>447</v>
      </c>
      <c r="F125" s="12"/>
      <c r="G125" s="20">
        <f>G126</f>
        <v>50118.8</v>
      </c>
      <c r="H125" s="20">
        <f aca="true" t="shared" si="13" ref="H125:J126">H126</f>
        <v>0</v>
      </c>
      <c r="I125" s="20">
        <f t="shared" si="13"/>
        <v>50116.5</v>
      </c>
      <c r="J125" s="20">
        <f t="shared" si="13"/>
        <v>0</v>
      </c>
      <c r="K125" s="38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:43" s="1" customFormat="1" ht="15.75">
      <c r="A126" s="6" t="s">
        <v>448</v>
      </c>
      <c r="B126" s="8" t="s">
        <v>193</v>
      </c>
      <c r="C126" s="8" t="s">
        <v>119</v>
      </c>
      <c r="D126" s="8" t="s">
        <v>107</v>
      </c>
      <c r="E126" s="8" t="s">
        <v>449</v>
      </c>
      <c r="F126" s="12"/>
      <c r="G126" s="20">
        <f>G127</f>
        <v>50118.8</v>
      </c>
      <c r="H126" s="20">
        <f t="shared" si="13"/>
        <v>0</v>
      </c>
      <c r="I126" s="20">
        <f t="shared" si="13"/>
        <v>50116.5</v>
      </c>
      <c r="J126" s="20">
        <f t="shared" si="13"/>
        <v>0</v>
      </c>
      <c r="K126" s="38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:43" s="1" customFormat="1" ht="15.75">
      <c r="A127" s="6" t="s">
        <v>86</v>
      </c>
      <c r="B127" s="8" t="s">
        <v>193</v>
      </c>
      <c r="C127" s="8" t="s">
        <v>119</v>
      </c>
      <c r="D127" s="8" t="s">
        <v>107</v>
      </c>
      <c r="E127" s="8" t="s">
        <v>449</v>
      </c>
      <c r="F127" s="9" t="s">
        <v>150</v>
      </c>
      <c r="G127" s="20">
        <f>118.8+50000</f>
        <v>50118.8</v>
      </c>
      <c r="H127" s="20"/>
      <c r="I127" s="20">
        <v>50116.5</v>
      </c>
      <c r="J127" s="20"/>
      <c r="K127" s="38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:43" s="1" customFormat="1" ht="15.75">
      <c r="A128" s="7" t="s">
        <v>219</v>
      </c>
      <c r="B128" s="8" t="s">
        <v>193</v>
      </c>
      <c r="C128" s="8" t="s">
        <v>119</v>
      </c>
      <c r="D128" s="8" t="s">
        <v>107</v>
      </c>
      <c r="E128" s="8" t="s">
        <v>218</v>
      </c>
      <c r="F128" s="9"/>
      <c r="G128" s="20">
        <f>G129</f>
        <v>228865.2</v>
      </c>
      <c r="H128" s="20">
        <f>H129</f>
        <v>228865.2</v>
      </c>
      <c r="I128" s="20">
        <f>I129</f>
        <v>169331.9</v>
      </c>
      <c r="J128" s="20">
        <f>J129</f>
        <v>169331.9</v>
      </c>
      <c r="K128" s="3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:43" s="1" customFormat="1" ht="28.5" customHeight="1">
      <c r="A129" s="6" t="s">
        <v>271</v>
      </c>
      <c r="B129" s="8" t="s">
        <v>193</v>
      </c>
      <c r="C129" s="8" t="s">
        <v>119</v>
      </c>
      <c r="D129" s="8" t="s">
        <v>107</v>
      </c>
      <c r="E129" s="8" t="s">
        <v>270</v>
      </c>
      <c r="F129" s="9"/>
      <c r="G129" s="20">
        <f>G130+G132</f>
        <v>228865.2</v>
      </c>
      <c r="H129" s="20">
        <f>H130+H132</f>
        <v>228865.2</v>
      </c>
      <c r="I129" s="20">
        <f>I130+I132</f>
        <v>169331.9</v>
      </c>
      <c r="J129" s="20">
        <f>J130+J132</f>
        <v>169331.9</v>
      </c>
      <c r="K129" s="38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:43" s="1" customFormat="1" ht="29.25">
      <c r="A130" s="6" t="s">
        <v>272</v>
      </c>
      <c r="B130" s="8" t="s">
        <v>193</v>
      </c>
      <c r="C130" s="8" t="s">
        <v>119</v>
      </c>
      <c r="D130" s="8" t="s">
        <v>107</v>
      </c>
      <c r="E130" s="8" t="s">
        <v>269</v>
      </c>
      <c r="F130" s="9"/>
      <c r="G130" s="20">
        <f>G131</f>
        <v>187200</v>
      </c>
      <c r="H130" s="20">
        <f>H131</f>
        <v>187200</v>
      </c>
      <c r="I130" s="20">
        <f>I131</f>
        <v>169331.9</v>
      </c>
      <c r="J130" s="20">
        <f>J131</f>
        <v>169331.9</v>
      </c>
      <c r="K130" s="38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:43" s="1" customFormat="1" ht="51" customHeight="1">
      <c r="A131" s="35" t="s">
        <v>273</v>
      </c>
      <c r="B131" s="8" t="s">
        <v>193</v>
      </c>
      <c r="C131" s="8" t="s">
        <v>119</v>
      </c>
      <c r="D131" s="8" t="s">
        <v>107</v>
      </c>
      <c r="E131" s="8" t="s">
        <v>269</v>
      </c>
      <c r="F131" s="9" t="s">
        <v>407</v>
      </c>
      <c r="G131" s="20">
        <v>187200</v>
      </c>
      <c r="H131" s="20">
        <v>187200</v>
      </c>
      <c r="I131" s="20">
        <v>169331.9</v>
      </c>
      <c r="J131" s="20">
        <v>169331.9</v>
      </c>
      <c r="K131" s="38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:43" s="1" customFormat="1" ht="43.5">
      <c r="A132" s="6" t="s">
        <v>507</v>
      </c>
      <c r="B132" s="8" t="s">
        <v>193</v>
      </c>
      <c r="C132" s="8" t="s">
        <v>119</v>
      </c>
      <c r="D132" s="8" t="s">
        <v>107</v>
      </c>
      <c r="E132" s="8" t="s">
        <v>397</v>
      </c>
      <c r="F132" s="9"/>
      <c r="G132" s="20">
        <f>G133</f>
        <v>41665.2</v>
      </c>
      <c r="H132" s="20">
        <f>H133</f>
        <v>41665.2</v>
      </c>
      <c r="I132" s="20">
        <f>I133</f>
        <v>0</v>
      </c>
      <c r="J132" s="20">
        <f>J133</f>
        <v>0</v>
      </c>
      <c r="K132" s="38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:43" s="1" customFormat="1" ht="15.75">
      <c r="A133" s="7" t="s">
        <v>299</v>
      </c>
      <c r="B133" s="8" t="s">
        <v>193</v>
      </c>
      <c r="C133" s="8" t="s">
        <v>119</v>
      </c>
      <c r="D133" s="8" t="s">
        <v>107</v>
      </c>
      <c r="E133" s="8" t="s">
        <v>397</v>
      </c>
      <c r="F133" s="9" t="s">
        <v>300</v>
      </c>
      <c r="G133" s="20">
        <v>41665.2</v>
      </c>
      <c r="H133" s="20">
        <v>41665.2</v>
      </c>
      <c r="I133" s="20"/>
      <c r="J133" s="20"/>
      <c r="K133" s="38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:43" s="1" customFormat="1" ht="15.75">
      <c r="A134" s="7" t="s">
        <v>78</v>
      </c>
      <c r="B134" s="8" t="s">
        <v>193</v>
      </c>
      <c r="C134" s="8" t="s">
        <v>119</v>
      </c>
      <c r="D134" s="8" t="s">
        <v>107</v>
      </c>
      <c r="E134" s="8" t="s">
        <v>79</v>
      </c>
      <c r="F134" s="9"/>
      <c r="G134" s="20">
        <f>G135</f>
        <v>8549.9</v>
      </c>
      <c r="H134" s="20">
        <f>H135</f>
        <v>0</v>
      </c>
      <c r="I134" s="20">
        <f>I135</f>
        <v>8314.4</v>
      </c>
      <c r="J134" s="20">
        <f>J135</f>
        <v>0</v>
      </c>
      <c r="K134" s="38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:43" s="1" customFormat="1" ht="43.5">
      <c r="A135" s="15" t="s">
        <v>244</v>
      </c>
      <c r="B135" s="8" t="s">
        <v>193</v>
      </c>
      <c r="C135" s="8" t="s">
        <v>119</v>
      </c>
      <c r="D135" s="8" t="s">
        <v>107</v>
      </c>
      <c r="E135" s="8" t="s">
        <v>205</v>
      </c>
      <c r="F135" s="9"/>
      <c r="G135" s="20">
        <f>G136+G137</f>
        <v>8549.9</v>
      </c>
      <c r="H135" s="20">
        <f>H136+H137</f>
        <v>0</v>
      </c>
      <c r="I135" s="20">
        <f>I136+I137</f>
        <v>8314.4</v>
      </c>
      <c r="J135" s="20">
        <f>J136+J137</f>
        <v>0</v>
      </c>
      <c r="K135" s="38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:43" s="1" customFormat="1" ht="15.75">
      <c r="A136" s="7" t="s">
        <v>86</v>
      </c>
      <c r="B136" s="8" t="s">
        <v>193</v>
      </c>
      <c r="C136" s="8" t="s">
        <v>119</v>
      </c>
      <c r="D136" s="8" t="s">
        <v>107</v>
      </c>
      <c r="E136" s="8" t="s">
        <v>205</v>
      </c>
      <c r="F136" s="9" t="s">
        <v>150</v>
      </c>
      <c r="G136" s="20">
        <f>1947+(4000+201.7)-764.6+1520</f>
        <v>6904.099999999999</v>
      </c>
      <c r="H136" s="20"/>
      <c r="I136" s="20">
        <v>6668.6</v>
      </c>
      <c r="J136" s="20"/>
      <c r="K136" s="38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:43" s="1" customFormat="1" ht="15.75">
      <c r="A137" s="10" t="s">
        <v>123</v>
      </c>
      <c r="B137" s="8" t="s">
        <v>193</v>
      </c>
      <c r="C137" s="8" t="s">
        <v>119</v>
      </c>
      <c r="D137" s="8" t="s">
        <v>107</v>
      </c>
      <c r="E137" s="8" t="s">
        <v>205</v>
      </c>
      <c r="F137" s="9" t="s">
        <v>40</v>
      </c>
      <c r="G137" s="20">
        <f>G138+G139+G140</f>
        <v>1645.8000000000002</v>
      </c>
      <c r="H137" s="20"/>
      <c r="I137" s="20">
        <v>1645.8</v>
      </c>
      <c r="J137" s="20"/>
      <c r="K137" s="38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:43" s="1" customFormat="1" ht="61.5" customHeight="1">
      <c r="A138" s="35" t="s">
        <v>263</v>
      </c>
      <c r="B138" s="8" t="s">
        <v>193</v>
      </c>
      <c r="C138" s="8" t="s">
        <v>119</v>
      </c>
      <c r="D138" s="8" t="s">
        <v>107</v>
      </c>
      <c r="E138" s="8" t="s">
        <v>205</v>
      </c>
      <c r="F138" s="9" t="s">
        <v>40</v>
      </c>
      <c r="G138" s="20">
        <f>5000-4000</f>
        <v>1000</v>
      </c>
      <c r="H138" s="20"/>
      <c r="I138" s="20">
        <v>1000</v>
      </c>
      <c r="J138" s="20"/>
      <c r="K138" s="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:43" s="1" customFormat="1" ht="61.5" customHeight="1">
      <c r="A139" s="35" t="s">
        <v>394</v>
      </c>
      <c r="B139" s="8" t="s">
        <v>193</v>
      </c>
      <c r="C139" s="8" t="s">
        <v>119</v>
      </c>
      <c r="D139" s="8" t="s">
        <v>107</v>
      </c>
      <c r="E139" s="8" t="s">
        <v>205</v>
      </c>
      <c r="F139" s="9" t="s">
        <v>40</v>
      </c>
      <c r="G139" s="20">
        <f>764.6-118.8</f>
        <v>645.8000000000001</v>
      </c>
      <c r="H139" s="20"/>
      <c r="I139" s="20">
        <v>645.8</v>
      </c>
      <c r="J139" s="20"/>
      <c r="K139" s="38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:43" s="1" customFormat="1" ht="36.75" customHeight="1">
      <c r="A140" s="35" t="s">
        <v>424</v>
      </c>
      <c r="B140" s="8" t="s">
        <v>193</v>
      </c>
      <c r="C140" s="8" t="s">
        <v>119</v>
      </c>
      <c r="D140" s="8" t="s">
        <v>107</v>
      </c>
      <c r="E140" s="8" t="s">
        <v>205</v>
      </c>
      <c r="F140" s="9" t="s">
        <v>40</v>
      </c>
      <c r="G140" s="20">
        <f>10000-10000</f>
        <v>0</v>
      </c>
      <c r="H140" s="20"/>
      <c r="I140" s="20"/>
      <c r="J140" s="20"/>
      <c r="K140" s="38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:11" ht="18.75" customHeight="1">
      <c r="A141" s="10" t="s">
        <v>80</v>
      </c>
      <c r="B141" s="11" t="s">
        <v>193</v>
      </c>
      <c r="C141" s="11" t="s">
        <v>119</v>
      </c>
      <c r="D141" s="11" t="s">
        <v>111</v>
      </c>
      <c r="E141" s="11"/>
      <c r="F141" s="12"/>
      <c r="G141" s="19">
        <f>G151+G146+G142</f>
        <v>95286.8</v>
      </c>
      <c r="H141" s="19">
        <f>H151+H146+H142</f>
        <v>2840</v>
      </c>
      <c r="I141" s="19">
        <f>I151+I146+I142</f>
        <v>93145.70000000001</v>
      </c>
      <c r="J141" s="19">
        <f>J151+J146+J142</f>
        <v>2840</v>
      </c>
      <c r="K141" s="37">
        <f>I141/G141*100</f>
        <v>97.75299411880765</v>
      </c>
    </row>
    <row r="142" spans="1:11" ht="18.75" customHeight="1">
      <c r="A142" s="7" t="s">
        <v>74</v>
      </c>
      <c r="B142" s="11" t="s">
        <v>193</v>
      </c>
      <c r="C142" s="11" t="s">
        <v>119</v>
      </c>
      <c r="D142" s="11" t="s">
        <v>111</v>
      </c>
      <c r="E142" s="11" t="s">
        <v>58</v>
      </c>
      <c r="F142" s="12"/>
      <c r="G142" s="19">
        <f>G143</f>
        <v>2840</v>
      </c>
      <c r="H142" s="19">
        <f>H143</f>
        <v>2840</v>
      </c>
      <c r="I142" s="19">
        <f>I143</f>
        <v>2840</v>
      </c>
      <c r="J142" s="19">
        <f>J143</f>
        <v>2840</v>
      </c>
      <c r="K142" s="37"/>
    </row>
    <row r="143" spans="1:11" ht="78.75" customHeight="1">
      <c r="A143" s="6" t="s">
        <v>503</v>
      </c>
      <c r="B143" s="8" t="s">
        <v>193</v>
      </c>
      <c r="C143" s="8" t="s">
        <v>119</v>
      </c>
      <c r="D143" s="8" t="s">
        <v>111</v>
      </c>
      <c r="E143" s="8" t="s">
        <v>485</v>
      </c>
      <c r="F143" s="12"/>
      <c r="G143" s="20">
        <f>G144</f>
        <v>2840</v>
      </c>
      <c r="H143" s="20">
        <f aca="true" t="shared" si="14" ref="H143:J144">H144</f>
        <v>2840</v>
      </c>
      <c r="I143" s="20">
        <f t="shared" si="14"/>
        <v>2840</v>
      </c>
      <c r="J143" s="20">
        <f t="shared" si="14"/>
        <v>2840</v>
      </c>
      <c r="K143" s="37"/>
    </row>
    <row r="144" spans="1:11" ht="36.75" customHeight="1">
      <c r="A144" s="6" t="s">
        <v>487</v>
      </c>
      <c r="B144" s="8" t="s">
        <v>193</v>
      </c>
      <c r="C144" s="8" t="s">
        <v>119</v>
      </c>
      <c r="D144" s="8" t="s">
        <v>111</v>
      </c>
      <c r="E144" s="8" t="s">
        <v>486</v>
      </c>
      <c r="F144" s="9"/>
      <c r="G144" s="20">
        <f>G145</f>
        <v>2840</v>
      </c>
      <c r="H144" s="20">
        <f t="shared" si="14"/>
        <v>2840</v>
      </c>
      <c r="I144" s="20">
        <f t="shared" si="14"/>
        <v>2840</v>
      </c>
      <c r="J144" s="20">
        <f t="shared" si="14"/>
        <v>2840</v>
      </c>
      <c r="K144" s="37"/>
    </row>
    <row r="145" spans="1:11" ht="18.75" customHeight="1">
      <c r="A145" s="7" t="s">
        <v>86</v>
      </c>
      <c r="B145" s="8" t="s">
        <v>193</v>
      </c>
      <c r="C145" s="8" t="s">
        <v>119</v>
      </c>
      <c r="D145" s="8" t="s">
        <v>111</v>
      </c>
      <c r="E145" s="8" t="s">
        <v>486</v>
      </c>
      <c r="F145" s="9" t="s">
        <v>150</v>
      </c>
      <c r="G145" s="20">
        <v>2840</v>
      </c>
      <c r="H145" s="20">
        <v>2840</v>
      </c>
      <c r="I145" s="20">
        <v>2840</v>
      </c>
      <c r="J145" s="20">
        <v>2840</v>
      </c>
      <c r="K145" s="37"/>
    </row>
    <row r="146" spans="1:11" ht="18.75" customHeight="1">
      <c r="A146" s="7" t="s">
        <v>80</v>
      </c>
      <c r="B146" s="8" t="s">
        <v>193</v>
      </c>
      <c r="C146" s="8" t="s">
        <v>119</v>
      </c>
      <c r="D146" s="8" t="s">
        <v>111</v>
      </c>
      <c r="E146" s="8" t="s">
        <v>425</v>
      </c>
      <c r="F146" s="12"/>
      <c r="G146" s="20">
        <f>G148+G149</f>
        <v>406.79999999999995</v>
      </c>
      <c r="H146" s="20">
        <f>H148+H149</f>
        <v>0</v>
      </c>
      <c r="I146" s="20">
        <f>I148+I149</f>
        <v>269.1</v>
      </c>
      <c r="J146" s="20">
        <f>J148+J149</f>
        <v>0</v>
      </c>
      <c r="K146" s="38"/>
    </row>
    <row r="147" spans="1:11" ht="18.75" customHeight="1">
      <c r="A147" s="7" t="s">
        <v>426</v>
      </c>
      <c r="B147" s="8" t="s">
        <v>193</v>
      </c>
      <c r="C147" s="8" t="s">
        <v>119</v>
      </c>
      <c r="D147" s="8" t="s">
        <v>111</v>
      </c>
      <c r="E147" s="8" t="s">
        <v>427</v>
      </c>
      <c r="F147" s="12"/>
      <c r="G147" s="20">
        <f>G148</f>
        <v>298.4</v>
      </c>
      <c r="H147" s="20">
        <f>H148</f>
        <v>0</v>
      </c>
      <c r="I147" s="20">
        <f>I148</f>
        <v>190</v>
      </c>
      <c r="J147" s="20">
        <f>J148</f>
        <v>0</v>
      </c>
      <c r="K147" s="38"/>
    </row>
    <row r="148" spans="1:11" ht="18.75" customHeight="1">
      <c r="A148" s="7" t="s">
        <v>86</v>
      </c>
      <c r="B148" s="8" t="s">
        <v>193</v>
      </c>
      <c r="C148" s="8" t="s">
        <v>119</v>
      </c>
      <c r="D148" s="8" t="s">
        <v>111</v>
      </c>
      <c r="E148" s="8" t="s">
        <v>427</v>
      </c>
      <c r="F148" s="9" t="s">
        <v>150</v>
      </c>
      <c r="G148" s="20">
        <f>298.4</f>
        <v>298.4</v>
      </c>
      <c r="H148" s="20"/>
      <c r="I148" s="20">
        <v>190</v>
      </c>
      <c r="J148" s="20"/>
      <c r="K148" s="38"/>
    </row>
    <row r="149" spans="1:11" ht="36" customHeight="1">
      <c r="A149" s="6" t="s">
        <v>488</v>
      </c>
      <c r="B149" s="8" t="s">
        <v>193</v>
      </c>
      <c r="C149" s="8" t="s">
        <v>119</v>
      </c>
      <c r="D149" s="8" t="s">
        <v>111</v>
      </c>
      <c r="E149" s="8" t="s">
        <v>428</v>
      </c>
      <c r="F149" s="9"/>
      <c r="G149" s="20">
        <f>G150</f>
        <v>108.4</v>
      </c>
      <c r="H149" s="20"/>
      <c r="I149" s="20">
        <f>I150</f>
        <v>79.1</v>
      </c>
      <c r="J149" s="20"/>
      <c r="K149" s="38"/>
    </row>
    <row r="150" spans="1:11" ht="18.75" customHeight="1">
      <c r="A150" s="7" t="s">
        <v>86</v>
      </c>
      <c r="B150" s="8" t="s">
        <v>193</v>
      </c>
      <c r="C150" s="8" t="s">
        <v>119</v>
      </c>
      <c r="D150" s="8" t="s">
        <v>111</v>
      </c>
      <c r="E150" s="8" t="s">
        <v>428</v>
      </c>
      <c r="F150" s="9" t="s">
        <v>150</v>
      </c>
      <c r="G150" s="20">
        <v>108.4</v>
      </c>
      <c r="H150" s="20"/>
      <c r="I150" s="20">
        <v>79.1</v>
      </c>
      <c r="J150" s="20"/>
      <c r="K150" s="38"/>
    </row>
    <row r="151" spans="1:11" ht="15.75">
      <c r="A151" s="7" t="s">
        <v>78</v>
      </c>
      <c r="B151" s="8" t="s">
        <v>193</v>
      </c>
      <c r="C151" s="8" t="s">
        <v>119</v>
      </c>
      <c r="D151" s="8" t="s">
        <v>111</v>
      </c>
      <c r="E151" s="8" t="s">
        <v>79</v>
      </c>
      <c r="F151" s="9"/>
      <c r="G151" s="20">
        <f>G152+G154</f>
        <v>92040</v>
      </c>
      <c r="H151" s="20">
        <f>H152+H154</f>
        <v>0</v>
      </c>
      <c r="I151" s="20">
        <f>I152+I154</f>
        <v>90036.6</v>
      </c>
      <c r="J151" s="20">
        <f>J152+J154</f>
        <v>0</v>
      </c>
      <c r="K151" s="38"/>
    </row>
    <row r="152" spans="1:43" s="1" customFormat="1" ht="33" customHeight="1">
      <c r="A152" s="6" t="s">
        <v>250</v>
      </c>
      <c r="B152" s="8" t="s">
        <v>193</v>
      </c>
      <c r="C152" s="8" t="s">
        <v>119</v>
      </c>
      <c r="D152" s="8" t="s">
        <v>111</v>
      </c>
      <c r="E152" s="8" t="s">
        <v>253</v>
      </c>
      <c r="F152" s="9"/>
      <c r="G152" s="20">
        <f>G153</f>
        <v>65318</v>
      </c>
      <c r="H152" s="20">
        <f>H153</f>
        <v>0</v>
      </c>
      <c r="I152" s="20">
        <f>I153</f>
        <v>63972.1</v>
      </c>
      <c r="J152" s="20">
        <f>J153</f>
        <v>0</v>
      </c>
      <c r="K152" s="38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:11" ht="15.75">
      <c r="A153" s="7" t="s">
        <v>86</v>
      </c>
      <c r="B153" s="8" t="s">
        <v>193</v>
      </c>
      <c r="C153" s="8" t="s">
        <v>119</v>
      </c>
      <c r="D153" s="8" t="s">
        <v>111</v>
      </c>
      <c r="E153" s="8" t="s">
        <v>253</v>
      </c>
      <c r="F153" s="9" t="s">
        <v>150</v>
      </c>
      <c r="G153" s="20">
        <f>57705-10000-2900+9000+9000-120+2000-200+415+418</f>
        <v>65318</v>
      </c>
      <c r="H153" s="20"/>
      <c r="I153" s="20">
        <v>63972.1</v>
      </c>
      <c r="J153" s="20"/>
      <c r="K153" s="38"/>
    </row>
    <row r="154" spans="1:11" ht="81" customHeight="1">
      <c r="A154" s="6" t="s">
        <v>472</v>
      </c>
      <c r="B154" s="8" t="s">
        <v>193</v>
      </c>
      <c r="C154" s="8" t="s">
        <v>119</v>
      </c>
      <c r="D154" s="8" t="s">
        <v>111</v>
      </c>
      <c r="E154" s="8" t="s">
        <v>262</v>
      </c>
      <c r="F154" s="9"/>
      <c r="G154" s="20">
        <f>G155</f>
        <v>26722</v>
      </c>
      <c r="H154" s="20">
        <f>H155</f>
        <v>0</v>
      </c>
      <c r="I154" s="20">
        <f>I155</f>
        <v>26064.5</v>
      </c>
      <c r="J154" s="20">
        <f>J155</f>
        <v>0</v>
      </c>
      <c r="K154" s="38"/>
    </row>
    <row r="155" spans="1:11" ht="15.75">
      <c r="A155" s="7" t="s">
        <v>86</v>
      </c>
      <c r="B155" s="8" t="s">
        <v>193</v>
      </c>
      <c r="C155" s="8" t="s">
        <v>119</v>
      </c>
      <c r="D155" s="8" t="s">
        <v>111</v>
      </c>
      <c r="E155" s="8" t="s">
        <v>262</v>
      </c>
      <c r="F155" s="9" t="s">
        <v>150</v>
      </c>
      <c r="G155" s="20">
        <f>10000-9000+1120+2000+22602</f>
        <v>26722</v>
      </c>
      <c r="H155" s="20"/>
      <c r="I155" s="20">
        <v>26064.5</v>
      </c>
      <c r="J155" s="20"/>
      <c r="K155" s="38"/>
    </row>
    <row r="156" spans="1:11" ht="15.75">
      <c r="A156" s="10" t="s">
        <v>27</v>
      </c>
      <c r="B156" s="11" t="s">
        <v>193</v>
      </c>
      <c r="C156" s="11" t="s">
        <v>122</v>
      </c>
      <c r="D156" s="11"/>
      <c r="E156" s="11"/>
      <c r="F156" s="12"/>
      <c r="G156" s="19">
        <f>G157</f>
        <v>970</v>
      </c>
      <c r="H156" s="19">
        <f aca="true" t="shared" si="15" ref="H156:J159">H157</f>
        <v>0</v>
      </c>
      <c r="I156" s="19">
        <f t="shared" si="15"/>
        <v>957</v>
      </c>
      <c r="J156" s="19">
        <f t="shared" si="15"/>
        <v>0</v>
      </c>
      <c r="K156" s="37">
        <f>I156/G156*100</f>
        <v>98.65979381443299</v>
      </c>
    </row>
    <row r="157" spans="1:11" ht="15.75">
      <c r="A157" s="10" t="s">
        <v>28</v>
      </c>
      <c r="B157" s="11" t="s">
        <v>193</v>
      </c>
      <c r="C157" s="11" t="s">
        <v>122</v>
      </c>
      <c r="D157" s="11" t="s">
        <v>119</v>
      </c>
      <c r="E157" s="11"/>
      <c r="F157" s="12"/>
      <c r="G157" s="19">
        <f>G158</f>
        <v>970</v>
      </c>
      <c r="H157" s="19">
        <f t="shared" si="15"/>
        <v>0</v>
      </c>
      <c r="I157" s="19">
        <f t="shared" si="15"/>
        <v>957</v>
      </c>
      <c r="J157" s="19">
        <f t="shared" si="15"/>
        <v>0</v>
      </c>
      <c r="K157" s="37">
        <f>I157/G157*100</f>
        <v>98.65979381443299</v>
      </c>
    </row>
    <row r="158" spans="1:11" ht="15.75">
      <c r="A158" s="7" t="s">
        <v>78</v>
      </c>
      <c r="B158" s="8" t="s">
        <v>193</v>
      </c>
      <c r="C158" s="8" t="s">
        <v>122</v>
      </c>
      <c r="D158" s="8" t="s">
        <v>119</v>
      </c>
      <c r="E158" s="8" t="s">
        <v>79</v>
      </c>
      <c r="F158" s="9"/>
      <c r="G158" s="20">
        <f>G159</f>
        <v>970</v>
      </c>
      <c r="H158" s="20">
        <f t="shared" si="15"/>
        <v>0</v>
      </c>
      <c r="I158" s="20">
        <f t="shared" si="15"/>
        <v>957</v>
      </c>
      <c r="J158" s="20">
        <f t="shared" si="15"/>
        <v>0</v>
      </c>
      <c r="K158" s="38"/>
    </row>
    <row r="159" spans="1:11" ht="60.75" customHeight="1">
      <c r="A159" s="15" t="s">
        <v>298</v>
      </c>
      <c r="B159" s="8" t="s">
        <v>193</v>
      </c>
      <c r="C159" s="8" t="s">
        <v>122</v>
      </c>
      <c r="D159" s="8" t="s">
        <v>119</v>
      </c>
      <c r="E159" s="8" t="s">
        <v>254</v>
      </c>
      <c r="F159" s="9"/>
      <c r="G159" s="20">
        <f>G160</f>
        <v>970</v>
      </c>
      <c r="H159" s="20">
        <f t="shared" si="15"/>
        <v>0</v>
      </c>
      <c r="I159" s="20">
        <f t="shared" si="15"/>
        <v>957</v>
      </c>
      <c r="J159" s="20">
        <f t="shared" si="15"/>
        <v>0</v>
      </c>
      <c r="K159" s="38"/>
    </row>
    <row r="160" spans="1:11" ht="15.75">
      <c r="A160" s="7" t="s">
        <v>86</v>
      </c>
      <c r="B160" s="8" t="s">
        <v>193</v>
      </c>
      <c r="C160" s="8" t="s">
        <v>122</v>
      </c>
      <c r="D160" s="8" t="s">
        <v>119</v>
      </c>
      <c r="E160" s="8" t="s">
        <v>254</v>
      </c>
      <c r="F160" s="9" t="s">
        <v>150</v>
      </c>
      <c r="G160" s="20">
        <f>360+500+110</f>
        <v>970</v>
      </c>
      <c r="H160" s="20"/>
      <c r="I160" s="20">
        <v>957</v>
      </c>
      <c r="J160" s="20"/>
      <c r="K160" s="38"/>
    </row>
    <row r="161" spans="1:11" ht="15.75">
      <c r="A161" s="10" t="s">
        <v>2</v>
      </c>
      <c r="B161" s="11" t="s">
        <v>193</v>
      </c>
      <c r="C161" s="11" t="s">
        <v>114</v>
      </c>
      <c r="D161" s="8"/>
      <c r="E161" s="8"/>
      <c r="F161" s="9"/>
      <c r="G161" s="19">
        <f>G177+G173+G162</f>
        <v>102464.5</v>
      </c>
      <c r="H161" s="19">
        <f>H177+H173+H162</f>
        <v>67269</v>
      </c>
      <c r="I161" s="19">
        <f>I177+I173+I162</f>
        <v>12186.9</v>
      </c>
      <c r="J161" s="19">
        <f>J177+J173+J162</f>
        <v>0</v>
      </c>
      <c r="K161" s="37">
        <f>I161/G161*100</f>
        <v>11.893777845009733</v>
      </c>
    </row>
    <row r="162" spans="1:11" ht="15.75">
      <c r="A162" s="10" t="s">
        <v>3</v>
      </c>
      <c r="B162" s="11" t="s">
        <v>193</v>
      </c>
      <c r="C162" s="11" t="s">
        <v>114</v>
      </c>
      <c r="D162" s="11" t="s">
        <v>106</v>
      </c>
      <c r="E162" s="8"/>
      <c r="F162" s="9"/>
      <c r="G162" s="19">
        <f>G163+G168</f>
        <v>91934.5</v>
      </c>
      <c r="H162" s="19">
        <f>H163+H168</f>
        <v>67269</v>
      </c>
      <c r="I162" s="19">
        <f>I163+I168</f>
        <v>11491.5</v>
      </c>
      <c r="J162" s="19">
        <f>J163+J168</f>
        <v>0</v>
      </c>
      <c r="K162" s="37">
        <f>I162/G162*100</f>
        <v>12.4996600840816</v>
      </c>
    </row>
    <row r="163" spans="1:11" ht="15.75">
      <c r="A163" s="7" t="s">
        <v>219</v>
      </c>
      <c r="B163" s="8" t="s">
        <v>193</v>
      </c>
      <c r="C163" s="8" t="s">
        <v>114</v>
      </c>
      <c r="D163" s="8" t="s">
        <v>106</v>
      </c>
      <c r="E163" s="8" t="s">
        <v>218</v>
      </c>
      <c r="F163" s="9"/>
      <c r="G163" s="20">
        <f aca="true" t="shared" si="16" ref="G163:J164">G164</f>
        <v>67269</v>
      </c>
      <c r="H163" s="20">
        <f t="shared" si="16"/>
        <v>67269</v>
      </c>
      <c r="I163" s="20">
        <f t="shared" si="16"/>
        <v>0</v>
      </c>
      <c r="J163" s="20">
        <f t="shared" si="16"/>
        <v>0</v>
      </c>
      <c r="K163" s="38"/>
    </row>
    <row r="164" spans="1:11" ht="43.5">
      <c r="A164" s="6" t="s">
        <v>460</v>
      </c>
      <c r="B164" s="8" t="s">
        <v>193</v>
      </c>
      <c r="C164" s="8" t="s">
        <v>114</v>
      </c>
      <c r="D164" s="8" t="s">
        <v>106</v>
      </c>
      <c r="E164" s="8" t="s">
        <v>457</v>
      </c>
      <c r="F164" s="9"/>
      <c r="G164" s="20">
        <f t="shared" si="16"/>
        <v>67269</v>
      </c>
      <c r="H164" s="20">
        <f t="shared" si="16"/>
        <v>67269</v>
      </c>
      <c r="I164" s="20">
        <f t="shared" si="16"/>
        <v>0</v>
      </c>
      <c r="J164" s="20">
        <f t="shared" si="16"/>
        <v>0</v>
      </c>
      <c r="K164" s="38"/>
    </row>
    <row r="165" spans="1:11" ht="15.75">
      <c r="A165" s="6" t="s">
        <v>284</v>
      </c>
      <c r="B165" s="8" t="s">
        <v>193</v>
      </c>
      <c r="C165" s="8" t="s">
        <v>114</v>
      </c>
      <c r="D165" s="8" t="s">
        <v>106</v>
      </c>
      <c r="E165" s="8" t="s">
        <v>283</v>
      </c>
      <c r="F165" s="9"/>
      <c r="G165" s="20">
        <f>G166+G167</f>
        <v>67269</v>
      </c>
      <c r="H165" s="20">
        <f>H166+H167</f>
        <v>67269</v>
      </c>
      <c r="I165" s="20">
        <f>I166+I167</f>
        <v>0</v>
      </c>
      <c r="J165" s="20">
        <f>J166+J167</f>
        <v>0</v>
      </c>
      <c r="K165" s="38"/>
    </row>
    <row r="166" spans="1:11" ht="44.25">
      <c r="A166" s="35" t="s">
        <v>423</v>
      </c>
      <c r="B166" s="8" t="s">
        <v>193</v>
      </c>
      <c r="C166" s="8" t="s">
        <v>114</v>
      </c>
      <c r="D166" s="8" t="s">
        <v>106</v>
      </c>
      <c r="E166" s="8" t="s">
        <v>283</v>
      </c>
      <c r="F166" s="9" t="s">
        <v>407</v>
      </c>
      <c r="G166" s="20">
        <f>60750</f>
        <v>60750</v>
      </c>
      <c r="H166" s="20">
        <f>60750</f>
        <v>60750</v>
      </c>
      <c r="I166" s="20"/>
      <c r="J166" s="20"/>
      <c r="K166" s="38"/>
    </row>
    <row r="167" spans="1:11" ht="44.25">
      <c r="A167" s="35" t="s">
        <v>469</v>
      </c>
      <c r="B167" s="8" t="s">
        <v>193</v>
      </c>
      <c r="C167" s="8" t="s">
        <v>114</v>
      </c>
      <c r="D167" s="8" t="s">
        <v>106</v>
      </c>
      <c r="E167" s="8" t="s">
        <v>283</v>
      </c>
      <c r="F167" s="9" t="s">
        <v>407</v>
      </c>
      <c r="G167" s="20">
        <v>6519</v>
      </c>
      <c r="H167" s="20">
        <v>6519</v>
      </c>
      <c r="I167" s="20"/>
      <c r="J167" s="20"/>
      <c r="K167" s="38"/>
    </row>
    <row r="168" spans="1:11" ht="17.25" customHeight="1">
      <c r="A168" s="7" t="s">
        <v>78</v>
      </c>
      <c r="B168" s="8" t="s">
        <v>193</v>
      </c>
      <c r="C168" s="8" t="s">
        <v>114</v>
      </c>
      <c r="D168" s="8" t="s">
        <v>106</v>
      </c>
      <c r="E168" s="8" t="s">
        <v>79</v>
      </c>
      <c r="F168" s="9"/>
      <c r="G168" s="20">
        <f>G169</f>
        <v>24665.5</v>
      </c>
      <c r="H168" s="20">
        <f>H169</f>
        <v>0</v>
      </c>
      <c r="I168" s="20">
        <f>I169</f>
        <v>11491.5</v>
      </c>
      <c r="J168" s="20">
        <f>J169</f>
        <v>0</v>
      </c>
      <c r="K168" s="38"/>
    </row>
    <row r="169" spans="1:11" ht="29.25">
      <c r="A169" s="6" t="s">
        <v>289</v>
      </c>
      <c r="B169" s="8" t="s">
        <v>193</v>
      </c>
      <c r="C169" s="8" t="s">
        <v>114</v>
      </c>
      <c r="D169" s="8" t="s">
        <v>106</v>
      </c>
      <c r="E169" s="8" t="s">
        <v>256</v>
      </c>
      <c r="F169" s="9"/>
      <c r="G169" s="20">
        <f>G170+G171+G172</f>
        <v>24665.5</v>
      </c>
      <c r="H169" s="20">
        <f>H170+H171+H172</f>
        <v>0</v>
      </c>
      <c r="I169" s="20">
        <f>I170+I171+I172</f>
        <v>11491.5</v>
      </c>
      <c r="J169" s="20">
        <f>J170+J171+J172</f>
        <v>0</v>
      </c>
      <c r="K169" s="38"/>
    </row>
    <row r="170" spans="1:11" ht="44.25">
      <c r="A170" s="35" t="s">
        <v>423</v>
      </c>
      <c r="B170" s="8" t="s">
        <v>193</v>
      </c>
      <c r="C170" s="8" t="s">
        <v>114</v>
      </c>
      <c r="D170" s="8" t="s">
        <v>106</v>
      </c>
      <c r="E170" s="8" t="s">
        <v>256</v>
      </c>
      <c r="F170" s="9" t="s">
        <v>40</v>
      </c>
      <c r="G170" s="20">
        <f>6750+773.1+42+14434.9+165.5</f>
        <v>22165.5</v>
      </c>
      <c r="H170" s="20"/>
      <c r="I170" s="20">
        <v>11491.5</v>
      </c>
      <c r="J170" s="20"/>
      <c r="K170" s="38"/>
    </row>
    <row r="171" spans="1:11" ht="44.25">
      <c r="A171" s="35" t="s">
        <v>454</v>
      </c>
      <c r="B171" s="8" t="s">
        <v>193</v>
      </c>
      <c r="C171" s="8" t="s">
        <v>114</v>
      </c>
      <c r="D171" s="8" t="s">
        <v>106</v>
      </c>
      <c r="E171" s="8" t="s">
        <v>256</v>
      </c>
      <c r="F171" s="9" t="s">
        <v>40</v>
      </c>
      <c r="G171" s="20">
        <f>10000-10000</f>
        <v>0</v>
      </c>
      <c r="H171" s="20">
        <f>10000-10000</f>
        <v>0</v>
      </c>
      <c r="I171" s="20">
        <f>10000-10000</f>
        <v>0</v>
      </c>
      <c r="J171" s="20">
        <f>10000-10000</f>
        <v>0</v>
      </c>
      <c r="K171" s="38"/>
    </row>
    <row r="172" spans="1:11" ht="58.5">
      <c r="A172" s="35" t="s">
        <v>445</v>
      </c>
      <c r="B172" s="8" t="s">
        <v>193</v>
      </c>
      <c r="C172" s="8" t="s">
        <v>114</v>
      </c>
      <c r="D172" s="8" t="s">
        <v>106</v>
      </c>
      <c r="E172" s="8" t="s">
        <v>256</v>
      </c>
      <c r="F172" s="9" t="s">
        <v>40</v>
      </c>
      <c r="G172" s="20">
        <v>2500</v>
      </c>
      <c r="H172" s="20"/>
      <c r="I172" s="20"/>
      <c r="J172" s="20"/>
      <c r="K172" s="38"/>
    </row>
    <row r="173" spans="1:11" ht="15.75">
      <c r="A173" s="7" t="s">
        <v>16</v>
      </c>
      <c r="B173" s="8" t="s">
        <v>193</v>
      </c>
      <c r="C173" s="8" t="s">
        <v>114</v>
      </c>
      <c r="D173" s="8" t="s">
        <v>114</v>
      </c>
      <c r="E173" s="8"/>
      <c r="F173" s="9"/>
      <c r="G173" s="20">
        <f>G174</f>
        <v>95.5</v>
      </c>
      <c r="H173" s="20">
        <f>H174</f>
        <v>0</v>
      </c>
      <c r="I173" s="20">
        <f>I174</f>
        <v>95.4</v>
      </c>
      <c r="J173" s="20">
        <f>J174</f>
        <v>0</v>
      </c>
      <c r="K173" s="37">
        <f>I173/G173*100</f>
        <v>99.89528795811519</v>
      </c>
    </row>
    <row r="174" spans="1:11" ht="15.75">
      <c r="A174" s="7" t="s">
        <v>78</v>
      </c>
      <c r="B174" s="8" t="s">
        <v>193</v>
      </c>
      <c r="C174" s="8" t="s">
        <v>114</v>
      </c>
      <c r="D174" s="8" t="s">
        <v>114</v>
      </c>
      <c r="E174" s="8" t="s">
        <v>79</v>
      </c>
      <c r="F174" s="9"/>
      <c r="G174" s="20">
        <f>G175</f>
        <v>95.5</v>
      </c>
      <c r="H174" s="20">
        <f aca="true" t="shared" si="17" ref="H174:J175">H175</f>
        <v>0</v>
      </c>
      <c r="I174" s="20">
        <f t="shared" si="17"/>
        <v>95.4</v>
      </c>
      <c r="J174" s="20">
        <f t="shared" si="17"/>
        <v>0</v>
      </c>
      <c r="K174" s="37">
        <f>I174/G174*100</f>
        <v>99.89528795811519</v>
      </c>
    </row>
    <row r="175" spans="1:11" ht="29.25">
      <c r="A175" s="42" t="s">
        <v>208</v>
      </c>
      <c r="B175" s="8" t="s">
        <v>193</v>
      </c>
      <c r="C175" s="8" t="s">
        <v>114</v>
      </c>
      <c r="D175" s="8" t="s">
        <v>114</v>
      </c>
      <c r="E175" s="8" t="s">
        <v>255</v>
      </c>
      <c r="F175" s="9"/>
      <c r="G175" s="20">
        <f>G176</f>
        <v>95.5</v>
      </c>
      <c r="H175" s="20">
        <f t="shared" si="17"/>
        <v>0</v>
      </c>
      <c r="I175" s="20">
        <f t="shared" si="17"/>
        <v>95.4</v>
      </c>
      <c r="J175" s="20">
        <f t="shared" si="17"/>
        <v>0</v>
      </c>
      <c r="K175" s="38"/>
    </row>
    <row r="176" spans="1:11" ht="15.75">
      <c r="A176" s="7" t="s">
        <v>144</v>
      </c>
      <c r="B176" s="8" t="s">
        <v>193</v>
      </c>
      <c r="C176" s="8" t="s">
        <v>114</v>
      </c>
      <c r="D176" s="8" t="s">
        <v>114</v>
      </c>
      <c r="E176" s="8" t="s">
        <v>255</v>
      </c>
      <c r="F176" s="9" t="s">
        <v>150</v>
      </c>
      <c r="G176" s="20">
        <v>95.5</v>
      </c>
      <c r="H176" s="20"/>
      <c r="I176" s="20">
        <v>95.4</v>
      </c>
      <c r="J176" s="20"/>
      <c r="K176" s="38"/>
    </row>
    <row r="177" spans="1:11" ht="15.75">
      <c r="A177" s="10" t="s">
        <v>19</v>
      </c>
      <c r="B177" s="11" t="s">
        <v>193</v>
      </c>
      <c r="C177" s="11" t="s">
        <v>114</v>
      </c>
      <c r="D177" s="11" t="s">
        <v>112</v>
      </c>
      <c r="E177" s="8"/>
      <c r="F177" s="9"/>
      <c r="G177" s="20">
        <f>G178</f>
        <v>10434.5</v>
      </c>
      <c r="H177" s="20">
        <f>H178</f>
        <v>0</v>
      </c>
      <c r="I177" s="20">
        <f>I178</f>
        <v>600</v>
      </c>
      <c r="J177" s="20">
        <f>J178</f>
        <v>0</v>
      </c>
      <c r="K177" s="37">
        <f>I177/G177*100</f>
        <v>5.750155733384446</v>
      </c>
    </row>
    <row r="178" spans="1:11" ht="15.75">
      <c r="A178" s="7" t="s">
        <v>78</v>
      </c>
      <c r="B178" s="8" t="s">
        <v>193</v>
      </c>
      <c r="C178" s="8" t="s">
        <v>114</v>
      </c>
      <c r="D178" s="8" t="s">
        <v>112</v>
      </c>
      <c r="E178" s="8" t="s">
        <v>79</v>
      </c>
      <c r="F178" s="9"/>
      <c r="G178" s="20">
        <f>G179</f>
        <v>10434.5</v>
      </c>
      <c r="H178" s="20">
        <f aca="true" t="shared" si="18" ref="H178:J179">H179</f>
        <v>0</v>
      </c>
      <c r="I178" s="20">
        <f t="shared" si="18"/>
        <v>600</v>
      </c>
      <c r="J178" s="20">
        <f t="shared" si="18"/>
        <v>0</v>
      </c>
      <c r="K178" s="37">
        <f>I178/G178*100</f>
        <v>5.750155733384446</v>
      </c>
    </row>
    <row r="179" spans="1:11" ht="29.25">
      <c r="A179" s="6" t="s">
        <v>289</v>
      </c>
      <c r="B179" s="8" t="s">
        <v>193</v>
      </c>
      <c r="C179" s="8" t="s">
        <v>114</v>
      </c>
      <c r="D179" s="8" t="s">
        <v>112</v>
      </c>
      <c r="E179" s="8" t="s">
        <v>256</v>
      </c>
      <c r="F179" s="9"/>
      <c r="G179" s="20">
        <f>G180</f>
        <v>10434.5</v>
      </c>
      <c r="H179" s="20">
        <f t="shared" si="18"/>
        <v>0</v>
      </c>
      <c r="I179" s="20">
        <f t="shared" si="18"/>
        <v>600</v>
      </c>
      <c r="J179" s="20">
        <f t="shared" si="18"/>
        <v>0</v>
      </c>
      <c r="K179" s="38"/>
    </row>
    <row r="180" spans="1:11" ht="15.75">
      <c r="A180" s="7" t="s">
        <v>86</v>
      </c>
      <c r="B180" s="8" t="s">
        <v>193</v>
      </c>
      <c r="C180" s="8" t="s">
        <v>114</v>
      </c>
      <c r="D180" s="8" t="s">
        <v>112</v>
      </c>
      <c r="E180" s="8" t="s">
        <v>256</v>
      </c>
      <c r="F180" s="9" t="s">
        <v>150</v>
      </c>
      <c r="G180" s="20">
        <f>600+10000-165.5</f>
        <v>10434.5</v>
      </c>
      <c r="H180" s="20"/>
      <c r="I180" s="20">
        <v>600</v>
      </c>
      <c r="J180" s="20"/>
      <c r="K180" s="38"/>
    </row>
    <row r="181" spans="1:11" ht="15.75">
      <c r="A181" s="10" t="s">
        <v>215</v>
      </c>
      <c r="B181" s="11" t="s">
        <v>193</v>
      </c>
      <c r="C181" s="11" t="s">
        <v>115</v>
      </c>
      <c r="D181" s="11"/>
      <c r="E181" s="11"/>
      <c r="F181" s="12"/>
      <c r="G181" s="19">
        <f>G182</f>
        <v>559.7</v>
      </c>
      <c r="H181" s="19">
        <f>H182</f>
        <v>0</v>
      </c>
      <c r="I181" s="19">
        <f>I182</f>
        <v>323.4</v>
      </c>
      <c r="J181" s="19">
        <f>J182</f>
        <v>0</v>
      </c>
      <c r="K181" s="37">
        <f>I181/G181*100</f>
        <v>57.78095408254421</v>
      </c>
    </row>
    <row r="182" spans="1:11" ht="15.75">
      <c r="A182" s="7" t="s">
        <v>217</v>
      </c>
      <c r="B182" s="8" t="s">
        <v>193</v>
      </c>
      <c r="C182" s="8" t="s">
        <v>115</v>
      </c>
      <c r="D182" s="8" t="s">
        <v>108</v>
      </c>
      <c r="E182" s="8"/>
      <c r="F182" s="9"/>
      <c r="G182" s="20">
        <f>G183</f>
        <v>559.7</v>
      </c>
      <c r="H182" s="20">
        <f aca="true" t="shared" si="19" ref="H182:J183">H183</f>
        <v>0</v>
      </c>
      <c r="I182" s="20">
        <f t="shared" si="19"/>
        <v>323.4</v>
      </c>
      <c r="J182" s="20">
        <f t="shared" si="19"/>
        <v>0</v>
      </c>
      <c r="K182" s="38"/>
    </row>
    <row r="183" spans="1:11" ht="29.25">
      <c r="A183" s="6" t="s">
        <v>206</v>
      </c>
      <c r="B183" s="8" t="s">
        <v>193</v>
      </c>
      <c r="C183" s="8" t="s">
        <v>115</v>
      </c>
      <c r="D183" s="8" t="s">
        <v>108</v>
      </c>
      <c r="E183" s="8" t="s">
        <v>257</v>
      </c>
      <c r="F183" s="9"/>
      <c r="G183" s="20">
        <f>G184</f>
        <v>559.7</v>
      </c>
      <c r="H183" s="20">
        <f t="shared" si="19"/>
        <v>0</v>
      </c>
      <c r="I183" s="20">
        <f t="shared" si="19"/>
        <v>323.4</v>
      </c>
      <c r="J183" s="20">
        <f t="shared" si="19"/>
        <v>0</v>
      </c>
      <c r="K183" s="38"/>
    </row>
    <row r="184" spans="1:11" ht="15.75">
      <c r="A184" s="7" t="s">
        <v>144</v>
      </c>
      <c r="B184" s="8" t="s">
        <v>193</v>
      </c>
      <c r="C184" s="8" t="s">
        <v>115</v>
      </c>
      <c r="D184" s="8" t="s">
        <v>108</v>
      </c>
      <c r="E184" s="8" t="s">
        <v>257</v>
      </c>
      <c r="F184" s="9" t="s">
        <v>150</v>
      </c>
      <c r="G184" s="20">
        <f>47.7+212+300</f>
        <v>559.7</v>
      </c>
      <c r="H184" s="20"/>
      <c r="I184" s="20">
        <v>323.4</v>
      </c>
      <c r="J184" s="20"/>
      <c r="K184" s="38"/>
    </row>
    <row r="185" spans="1:11" ht="15.75">
      <c r="A185" s="10" t="s">
        <v>190</v>
      </c>
      <c r="B185" s="11" t="s">
        <v>193</v>
      </c>
      <c r="C185" s="11" t="s">
        <v>112</v>
      </c>
      <c r="D185" s="11"/>
      <c r="E185" s="11"/>
      <c r="F185" s="12"/>
      <c r="G185" s="19">
        <f>G186+G204+G216+G222+G233</f>
        <v>821787.6000000001</v>
      </c>
      <c r="H185" s="19">
        <f>H186+H204+H216+H222+H233</f>
        <v>813790.9</v>
      </c>
      <c r="I185" s="19">
        <f>I186+I204+I216+I222+I233</f>
        <v>812176.3</v>
      </c>
      <c r="J185" s="19">
        <f>J186+J204+J216+J222+J233</f>
        <v>804179.6000000001</v>
      </c>
      <c r="K185" s="37">
        <f>I185/G185*100</f>
        <v>98.83043988495324</v>
      </c>
    </row>
    <row r="186" spans="1:11" ht="15.75">
      <c r="A186" s="10" t="s">
        <v>133</v>
      </c>
      <c r="B186" s="11" t="s">
        <v>193</v>
      </c>
      <c r="C186" s="11" t="s">
        <v>112</v>
      </c>
      <c r="D186" s="11" t="s">
        <v>106</v>
      </c>
      <c r="E186" s="11"/>
      <c r="F186" s="12"/>
      <c r="G186" s="19">
        <f>G187+G197</f>
        <v>98164.40000000002</v>
      </c>
      <c r="H186" s="19">
        <f>H187+H197</f>
        <v>91998.90000000002</v>
      </c>
      <c r="I186" s="19">
        <f>I187+I197</f>
        <v>97729.00000000001</v>
      </c>
      <c r="J186" s="19">
        <f>J187+J197</f>
        <v>91563.50000000001</v>
      </c>
      <c r="K186" s="37">
        <f>I186/G186*100</f>
        <v>99.55645834946273</v>
      </c>
    </row>
    <row r="187" spans="1:11" ht="15.75">
      <c r="A187" s="7" t="s">
        <v>183</v>
      </c>
      <c r="B187" s="8" t="s">
        <v>193</v>
      </c>
      <c r="C187" s="8" t="s">
        <v>112</v>
      </c>
      <c r="D187" s="8" t="s">
        <v>106</v>
      </c>
      <c r="E187" s="8" t="s">
        <v>26</v>
      </c>
      <c r="F187" s="9"/>
      <c r="G187" s="20">
        <f>G188+G192+G196+G190+G194</f>
        <v>93654.30000000002</v>
      </c>
      <c r="H187" s="20">
        <f>H188+H192+H196+H190+H194</f>
        <v>87488.80000000002</v>
      </c>
      <c r="I187" s="20">
        <f>I188+I192+I196+I190+I194</f>
        <v>93218.90000000001</v>
      </c>
      <c r="J187" s="20">
        <f>J188+J192+J196+J190+J194</f>
        <v>87053.40000000001</v>
      </c>
      <c r="K187" s="38"/>
    </row>
    <row r="188" spans="1:11" ht="49.5" customHeight="1">
      <c r="A188" s="6" t="s">
        <v>321</v>
      </c>
      <c r="B188" s="8" t="s">
        <v>193</v>
      </c>
      <c r="C188" s="8" t="s">
        <v>112</v>
      </c>
      <c r="D188" s="8" t="s">
        <v>106</v>
      </c>
      <c r="E188" s="8" t="s">
        <v>322</v>
      </c>
      <c r="F188" s="9"/>
      <c r="G188" s="20">
        <f>G189</f>
        <v>83278.80000000002</v>
      </c>
      <c r="H188" s="20">
        <f>H189</f>
        <v>83278.80000000002</v>
      </c>
      <c r="I188" s="20">
        <f>I189</f>
        <v>83278.8</v>
      </c>
      <c r="J188" s="20">
        <f>J189</f>
        <v>83278.8</v>
      </c>
      <c r="K188" s="38"/>
    </row>
    <row r="189" spans="1:11" ht="15.75">
      <c r="A189" s="7" t="s">
        <v>306</v>
      </c>
      <c r="B189" s="8" t="s">
        <v>193</v>
      </c>
      <c r="C189" s="8" t="s">
        <v>112</v>
      </c>
      <c r="D189" s="8" t="s">
        <v>106</v>
      </c>
      <c r="E189" s="8" t="s">
        <v>322</v>
      </c>
      <c r="F189" s="9" t="s">
        <v>303</v>
      </c>
      <c r="G189" s="20">
        <f>102852.9+150000+952+2355+13727.8-2355-13727.8-952-168000-1574.1</f>
        <v>83278.80000000002</v>
      </c>
      <c r="H189" s="20">
        <f>102852.9+150000+952+2355+13727.8-2355-13727.8-952-168000-1574.1</f>
        <v>83278.80000000002</v>
      </c>
      <c r="I189" s="20">
        <v>83278.8</v>
      </c>
      <c r="J189" s="20">
        <v>83278.8</v>
      </c>
      <c r="K189" s="38"/>
    </row>
    <row r="190" spans="1:11" ht="63.75" customHeight="1">
      <c r="A190" s="6" t="s">
        <v>339</v>
      </c>
      <c r="B190" s="8" t="s">
        <v>193</v>
      </c>
      <c r="C190" s="8" t="s">
        <v>112</v>
      </c>
      <c r="D190" s="8" t="s">
        <v>106</v>
      </c>
      <c r="E190" s="8" t="s">
        <v>338</v>
      </c>
      <c r="F190" s="9"/>
      <c r="G190" s="20">
        <f>G191</f>
        <v>1019.5</v>
      </c>
      <c r="H190" s="20">
        <f>H191</f>
        <v>952</v>
      </c>
      <c r="I190" s="20">
        <f>I191</f>
        <v>584.1</v>
      </c>
      <c r="J190" s="20">
        <f>J191</f>
        <v>516.6</v>
      </c>
      <c r="K190" s="38"/>
    </row>
    <row r="191" spans="1:11" ht="15.75">
      <c r="A191" s="7" t="s">
        <v>306</v>
      </c>
      <c r="B191" s="8" t="s">
        <v>193</v>
      </c>
      <c r="C191" s="8" t="s">
        <v>112</v>
      </c>
      <c r="D191" s="8" t="s">
        <v>106</v>
      </c>
      <c r="E191" s="8" t="s">
        <v>338</v>
      </c>
      <c r="F191" s="9" t="s">
        <v>303</v>
      </c>
      <c r="G191" s="20">
        <f>952+67.5</f>
        <v>1019.5</v>
      </c>
      <c r="H191" s="20">
        <v>952</v>
      </c>
      <c r="I191" s="20">
        <v>584.1</v>
      </c>
      <c r="J191" s="20">
        <v>516.6</v>
      </c>
      <c r="K191" s="38"/>
    </row>
    <row r="192" spans="1:11" ht="52.5" customHeight="1">
      <c r="A192" s="6" t="s">
        <v>330</v>
      </c>
      <c r="B192" s="8" t="s">
        <v>193</v>
      </c>
      <c r="C192" s="8" t="s">
        <v>112</v>
      </c>
      <c r="D192" s="8" t="s">
        <v>106</v>
      </c>
      <c r="E192" s="8" t="s">
        <v>327</v>
      </c>
      <c r="F192" s="9"/>
      <c r="G192" s="20">
        <f>G193</f>
        <v>1758</v>
      </c>
      <c r="H192" s="20">
        <f>H193</f>
        <v>1758</v>
      </c>
      <c r="I192" s="20">
        <f>I193</f>
        <v>1758</v>
      </c>
      <c r="J192" s="20">
        <f>J193</f>
        <v>1758</v>
      </c>
      <c r="K192" s="38"/>
    </row>
    <row r="193" spans="1:11" ht="15.75">
      <c r="A193" s="7" t="s">
        <v>306</v>
      </c>
      <c r="B193" s="8" t="s">
        <v>193</v>
      </c>
      <c r="C193" s="8" t="s">
        <v>112</v>
      </c>
      <c r="D193" s="8" t="s">
        <v>106</v>
      </c>
      <c r="E193" s="8" t="s">
        <v>327</v>
      </c>
      <c r="F193" s="9" t="s">
        <v>303</v>
      </c>
      <c r="G193" s="20">
        <f>13727.8-2179.5-9790.3</f>
        <v>1758</v>
      </c>
      <c r="H193" s="20">
        <f>13727.8-2179.5-9790.3</f>
        <v>1758</v>
      </c>
      <c r="I193" s="20">
        <v>1758</v>
      </c>
      <c r="J193" s="20">
        <v>1758</v>
      </c>
      <c r="K193" s="38"/>
    </row>
    <row r="194" spans="1:11" ht="43.5">
      <c r="A194" s="6" t="s">
        <v>341</v>
      </c>
      <c r="B194" s="8" t="s">
        <v>193</v>
      </c>
      <c r="C194" s="8" t="s">
        <v>112</v>
      </c>
      <c r="D194" s="8" t="s">
        <v>106</v>
      </c>
      <c r="E194" s="8" t="s">
        <v>340</v>
      </c>
      <c r="F194" s="9"/>
      <c r="G194" s="20">
        <f>G195</f>
        <v>1500</v>
      </c>
      <c r="H194" s="20">
        <f>H195</f>
        <v>1500</v>
      </c>
      <c r="I194" s="20">
        <f>I195</f>
        <v>1500</v>
      </c>
      <c r="J194" s="20">
        <f>J195</f>
        <v>1500</v>
      </c>
      <c r="K194" s="38"/>
    </row>
    <row r="195" spans="1:11" ht="15.75">
      <c r="A195" s="7" t="s">
        <v>306</v>
      </c>
      <c r="B195" s="8" t="s">
        <v>193</v>
      </c>
      <c r="C195" s="8" t="s">
        <v>112</v>
      </c>
      <c r="D195" s="8" t="s">
        <v>106</v>
      </c>
      <c r="E195" s="8" t="s">
        <v>340</v>
      </c>
      <c r="F195" s="9" t="s">
        <v>303</v>
      </c>
      <c r="G195" s="20">
        <f>170355-2355+65480-231980+226480-226480</f>
        <v>1500</v>
      </c>
      <c r="H195" s="20">
        <f>170355-2355+65480-231980+226480-226480</f>
        <v>1500</v>
      </c>
      <c r="I195" s="20">
        <v>1500</v>
      </c>
      <c r="J195" s="20">
        <v>1500</v>
      </c>
      <c r="K195" s="38"/>
    </row>
    <row r="196" spans="1:11" ht="15.75">
      <c r="A196" s="7" t="s">
        <v>147</v>
      </c>
      <c r="B196" s="8" t="s">
        <v>193</v>
      </c>
      <c r="C196" s="8" t="s">
        <v>112</v>
      </c>
      <c r="D196" s="8" t="s">
        <v>106</v>
      </c>
      <c r="E196" s="8" t="s">
        <v>350</v>
      </c>
      <c r="F196" s="9" t="s">
        <v>148</v>
      </c>
      <c r="G196" s="20">
        <f>2355+1754.8+1344+915-915+644.2</f>
        <v>6098</v>
      </c>
      <c r="H196" s="20"/>
      <c r="I196" s="20">
        <f>5453.8+644.2</f>
        <v>6098</v>
      </c>
      <c r="J196" s="20"/>
      <c r="K196" s="38"/>
    </row>
    <row r="197" spans="1:11" ht="15.75">
      <c r="A197" s="10" t="s">
        <v>162</v>
      </c>
      <c r="B197" s="11" t="s">
        <v>193</v>
      </c>
      <c r="C197" s="11" t="s">
        <v>112</v>
      </c>
      <c r="D197" s="11" t="s">
        <v>106</v>
      </c>
      <c r="E197" s="11" t="s">
        <v>163</v>
      </c>
      <c r="F197" s="12"/>
      <c r="G197" s="19">
        <f>G199+G201+G202</f>
        <v>4510.1</v>
      </c>
      <c r="H197" s="19">
        <f>H199+H201+H202</f>
        <v>4510.1</v>
      </c>
      <c r="I197" s="19">
        <f>I199+I201+I202</f>
        <v>4510.1</v>
      </c>
      <c r="J197" s="19">
        <f>J199+J201+J202</f>
        <v>4510.1</v>
      </c>
      <c r="K197" s="37">
        <f>I197/G197*100</f>
        <v>100</v>
      </c>
    </row>
    <row r="198" spans="1:11" ht="29.25">
      <c r="A198" s="6" t="s">
        <v>323</v>
      </c>
      <c r="B198" s="8" t="s">
        <v>193</v>
      </c>
      <c r="C198" s="8" t="s">
        <v>112</v>
      </c>
      <c r="D198" s="8" t="s">
        <v>106</v>
      </c>
      <c r="E198" s="8" t="s">
        <v>324</v>
      </c>
      <c r="F198" s="9"/>
      <c r="G198" s="20">
        <f>G199</f>
        <v>4229.1</v>
      </c>
      <c r="H198" s="20">
        <f>H199</f>
        <v>4229.1</v>
      </c>
      <c r="I198" s="20">
        <f>I199</f>
        <v>4229.1</v>
      </c>
      <c r="J198" s="20">
        <f>J199</f>
        <v>4229.1</v>
      </c>
      <c r="K198" s="38"/>
    </row>
    <row r="199" spans="1:11" ht="15.75">
      <c r="A199" s="7" t="s">
        <v>306</v>
      </c>
      <c r="B199" s="8" t="s">
        <v>193</v>
      </c>
      <c r="C199" s="8" t="s">
        <v>112</v>
      </c>
      <c r="D199" s="8" t="s">
        <v>106</v>
      </c>
      <c r="E199" s="8" t="s">
        <v>324</v>
      </c>
      <c r="F199" s="9" t="s">
        <v>303</v>
      </c>
      <c r="G199" s="20">
        <f>2619.1-30+1640</f>
        <v>4229.1</v>
      </c>
      <c r="H199" s="20">
        <f>2619.1-30+1640</f>
        <v>4229.1</v>
      </c>
      <c r="I199" s="20">
        <v>4229.1</v>
      </c>
      <c r="J199" s="20">
        <v>4229.1</v>
      </c>
      <c r="K199" s="38"/>
    </row>
    <row r="200" spans="1:11" ht="43.5">
      <c r="A200" s="6" t="s">
        <v>331</v>
      </c>
      <c r="B200" s="8" t="s">
        <v>193</v>
      </c>
      <c r="C200" s="8" t="s">
        <v>112</v>
      </c>
      <c r="D200" s="8" t="s">
        <v>106</v>
      </c>
      <c r="E200" s="8" t="s">
        <v>329</v>
      </c>
      <c r="F200" s="9"/>
      <c r="G200" s="20">
        <f>G201</f>
        <v>181</v>
      </c>
      <c r="H200" s="20">
        <f>H201</f>
        <v>181</v>
      </c>
      <c r="I200" s="20">
        <f>I201</f>
        <v>181</v>
      </c>
      <c r="J200" s="20">
        <f>J201</f>
        <v>181</v>
      </c>
      <c r="K200" s="38"/>
    </row>
    <row r="201" spans="1:11" ht="15.75">
      <c r="A201" s="7" t="s">
        <v>306</v>
      </c>
      <c r="B201" s="8" t="s">
        <v>193</v>
      </c>
      <c r="C201" s="8" t="s">
        <v>112</v>
      </c>
      <c r="D201" s="8" t="s">
        <v>106</v>
      </c>
      <c r="E201" s="8" t="s">
        <v>329</v>
      </c>
      <c r="F201" s="9" t="s">
        <v>303</v>
      </c>
      <c r="G201" s="20">
        <f>30.5+179.5-29</f>
        <v>181</v>
      </c>
      <c r="H201" s="20">
        <f>30.5+179.5-29</f>
        <v>181</v>
      </c>
      <c r="I201" s="20">
        <v>181</v>
      </c>
      <c r="J201" s="20">
        <v>181</v>
      </c>
      <c r="K201" s="38"/>
    </row>
    <row r="202" spans="1:11" ht="29.25">
      <c r="A202" s="6" t="s">
        <v>343</v>
      </c>
      <c r="B202" s="8" t="s">
        <v>193</v>
      </c>
      <c r="C202" s="8" t="s">
        <v>112</v>
      </c>
      <c r="D202" s="8" t="s">
        <v>106</v>
      </c>
      <c r="E202" s="8" t="s">
        <v>342</v>
      </c>
      <c r="F202" s="9"/>
      <c r="G202" s="20">
        <f>G203</f>
        <v>100</v>
      </c>
      <c r="H202" s="20">
        <f>H203</f>
        <v>100</v>
      </c>
      <c r="I202" s="20">
        <f>I203</f>
        <v>100</v>
      </c>
      <c r="J202" s="20">
        <f>J203</f>
        <v>100</v>
      </c>
      <c r="K202" s="38"/>
    </row>
    <row r="203" spans="1:11" ht="15.75">
      <c r="A203" s="7" t="s">
        <v>306</v>
      </c>
      <c r="B203" s="8" t="s">
        <v>193</v>
      </c>
      <c r="C203" s="8" t="s">
        <v>112</v>
      </c>
      <c r="D203" s="8" t="s">
        <v>106</v>
      </c>
      <c r="E203" s="8" t="s">
        <v>342</v>
      </c>
      <c r="F203" s="9" t="s">
        <v>303</v>
      </c>
      <c r="G203" s="20">
        <f>30+70</f>
        <v>100</v>
      </c>
      <c r="H203" s="20">
        <f>30+70</f>
        <v>100</v>
      </c>
      <c r="I203" s="20">
        <v>100</v>
      </c>
      <c r="J203" s="20">
        <v>100</v>
      </c>
      <c r="K203" s="38"/>
    </row>
    <row r="204" spans="1:11" ht="15.75">
      <c r="A204" s="10" t="s">
        <v>164</v>
      </c>
      <c r="B204" s="11" t="s">
        <v>193</v>
      </c>
      <c r="C204" s="11" t="s">
        <v>112</v>
      </c>
      <c r="D204" s="11" t="s">
        <v>107</v>
      </c>
      <c r="E204" s="11"/>
      <c r="F204" s="12"/>
      <c r="G204" s="19">
        <f>G205</f>
        <v>151477.1</v>
      </c>
      <c r="H204" s="19">
        <f>H205</f>
        <v>149734.4</v>
      </c>
      <c r="I204" s="19">
        <f>I205</f>
        <v>149843.8</v>
      </c>
      <c r="J204" s="19">
        <f>J205</f>
        <v>148101.1</v>
      </c>
      <c r="K204" s="37">
        <f>I204/G204*100</f>
        <v>98.92175120859852</v>
      </c>
    </row>
    <row r="205" spans="1:11" ht="15.75">
      <c r="A205" s="7" t="s">
        <v>165</v>
      </c>
      <c r="B205" s="8" t="s">
        <v>193</v>
      </c>
      <c r="C205" s="8" t="s">
        <v>112</v>
      </c>
      <c r="D205" s="8" t="s">
        <v>107</v>
      </c>
      <c r="E205" s="8" t="s">
        <v>166</v>
      </c>
      <c r="F205" s="9"/>
      <c r="G205" s="20">
        <f>G208+G209+G213+G206+G212</f>
        <v>151477.1</v>
      </c>
      <c r="H205" s="20">
        <f>H208+H209+H213+H206+H212</f>
        <v>149734.4</v>
      </c>
      <c r="I205" s="20">
        <f>I208+I209+I213+I206+I212</f>
        <v>149843.8</v>
      </c>
      <c r="J205" s="20">
        <f>J208+J209+J213+J206+J212</f>
        <v>148101.1</v>
      </c>
      <c r="K205" s="38"/>
    </row>
    <row r="206" spans="1:11" ht="45.75" customHeight="1">
      <c r="A206" s="6" t="s">
        <v>345</v>
      </c>
      <c r="B206" s="8" t="s">
        <v>193</v>
      </c>
      <c r="C206" s="8" t="s">
        <v>112</v>
      </c>
      <c r="D206" s="8" t="s">
        <v>107</v>
      </c>
      <c r="E206" s="8" t="s">
        <v>344</v>
      </c>
      <c r="F206" s="9"/>
      <c r="G206" s="20">
        <f>G207</f>
        <v>10111.6</v>
      </c>
      <c r="H206" s="20">
        <f>H207</f>
        <v>10062</v>
      </c>
      <c r="I206" s="20">
        <f>I207</f>
        <v>8478.3</v>
      </c>
      <c r="J206" s="20">
        <f>J207</f>
        <v>8428.7</v>
      </c>
      <c r="K206" s="38"/>
    </row>
    <row r="207" spans="1:11" ht="15.75">
      <c r="A207" s="7" t="s">
        <v>306</v>
      </c>
      <c r="B207" s="8" t="s">
        <v>193</v>
      </c>
      <c r="C207" s="8" t="s">
        <v>112</v>
      </c>
      <c r="D207" s="8" t="s">
        <v>107</v>
      </c>
      <c r="E207" s="8" t="s">
        <v>344</v>
      </c>
      <c r="F207" s="9" t="s">
        <v>303</v>
      </c>
      <c r="G207" s="20">
        <f>10062+49.6</f>
        <v>10111.6</v>
      </c>
      <c r="H207" s="20">
        <v>10062</v>
      </c>
      <c r="I207" s="20">
        <v>8478.3</v>
      </c>
      <c r="J207" s="20">
        <v>8428.7</v>
      </c>
      <c r="K207" s="38"/>
    </row>
    <row r="208" spans="1:11" ht="43.5">
      <c r="A208" s="6" t="s">
        <v>333</v>
      </c>
      <c r="B208" s="8" t="s">
        <v>193</v>
      </c>
      <c r="C208" s="8" t="s">
        <v>112</v>
      </c>
      <c r="D208" s="8" t="s">
        <v>107</v>
      </c>
      <c r="E208" s="8" t="s">
        <v>325</v>
      </c>
      <c r="F208" s="9" t="s">
        <v>303</v>
      </c>
      <c r="G208" s="20">
        <f>148728.6-3861.3-10062-3016+250-635.7</f>
        <v>131403.6</v>
      </c>
      <c r="H208" s="20">
        <f>148728.6-3861.3-10062-3016+250-635.7</f>
        <v>131403.6</v>
      </c>
      <c r="I208" s="20">
        <v>131403.6</v>
      </c>
      <c r="J208" s="20">
        <v>131403.6</v>
      </c>
      <c r="K208" s="38"/>
    </row>
    <row r="209" spans="1:11" ht="57.75">
      <c r="A209" s="6" t="s">
        <v>326</v>
      </c>
      <c r="B209" s="8" t="s">
        <v>193</v>
      </c>
      <c r="C209" s="8" t="s">
        <v>112</v>
      </c>
      <c r="D209" s="8" t="s">
        <v>107</v>
      </c>
      <c r="E209" s="8" t="s">
        <v>332</v>
      </c>
      <c r="F209" s="9"/>
      <c r="G209" s="20">
        <f>G210</f>
        <v>5602.8</v>
      </c>
      <c r="H209" s="20">
        <f>H210</f>
        <v>5602.8</v>
      </c>
      <c r="I209" s="20">
        <f>I210</f>
        <v>5602.8</v>
      </c>
      <c r="J209" s="20">
        <f>J210</f>
        <v>5602.8</v>
      </c>
      <c r="K209" s="38"/>
    </row>
    <row r="210" spans="1:11" ht="15.75">
      <c r="A210" s="7" t="s">
        <v>306</v>
      </c>
      <c r="B210" s="8" t="s">
        <v>193</v>
      </c>
      <c r="C210" s="8" t="s">
        <v>112</v>
      </c>
      <c r="D210" s="8" t="s">
        <v>107</v>
      </c>
      <c r="E210" s="8" t="s">
        <v>332</v>
      </c>
      <c r="F210" s="9" t="s">
        <v>303</v>
      </c>
      <c r="G210" s="20">
        <f>3861.3+2000-258.5</f>
        <v>5602.8</v>
      </c>
      <c r="H210" s="20">
        <f>3861.3+2000-258.5</f>
        <v>5602.8</v>
      </c>
      <c r="I210" s="20">
        <v>5602.8</v>
      </c>
      <c r="J210" s="20">
        <v>5602.8</v>
      </c>
      <c r="K210" s="38"/>
    </row>
    <row r="211" spans="1:11" ht="36" customHeight="1">
      <c r="A211" s="6" t="s">
        <v>347</v>
      </c>
      <c r="B211" s="8" t="s">
        <v>193</v>
      </c>
      <c r="C211" s="8" t="s">
        <v>112</v>
      </c>
      <c r="D211" s="8" t="s">
        <v>107</v>
      </c>
      <c r="E211" s="8" t="s">
        <v>346</v>
      </c>
      <c r="F211" s="9"/>
      <c r="G211" s="20">
        <f>G212</f>
        <v>2666</v>
      </c>
      <c r="H211" s="20">
        <f>H212</f>
        <v>2666</v>
      </c>
      <c r="I211" s="20">
        <f>I212</f>
        <v>2666</v>
      </c>
      <c r="J211" s="20">
        <f>J212</f>
        <v>2666</v>
      </c>
      <c r="K211" s="38"/>
    </row>
    <row r="212" spans="1:11" ht="15.75">
      <c r="A212" s="7" t="s">
        <v>306</v>
      </c>
      <c r="B212" s="8" t="s">
        <v>193</v>
      </c>
      <c r="C212" s="8" t="s">
        <v>112</v>
      </c>
      <c r="D212" s="8" t="s">
        <v>107</v>
      </c>
      <c r="E212" s="8" t="s">
        <v>346</v>
      </c>
      <c r="F212" s="9" t="s">
        <v>303</v>
      </c>
      <c r="G212" s="20">
        <f>3016+5500-250-5500-100</f>
        <v>2666</v>
      </c>
      <c r="H212" s="20">
        <f>3016+5500-5500-250-100</f>
        <v>2666</v>
      </c>
      <c r="I212" s="20">
        <v>2666</v>
      </c>
      <c r="J212" s="20">
        <v>2666</v>
      </c>
      <c r="K212" s="38"/>
    </row>
    <row r="213" spans="1:11" ht="15.75">
      <c r="A213" s="7" t="s">
        <v>14</v>
      </c>
      <c r="B213" s="8" t="s">
        <v>193</v>
      </c>
      <c r="C213" s="8" t="s">
        <v>112</v>
      </c>
      <c r="D213" s="8" t="s">
        <v>107</v>
      </c>
      <c r="E213" s="8" t="s">
        <v>167</v>
      </c>
      <c r="F213" s="9"/>
      <c r="G213" s="20">
        <f>G215+G214</f>
        <v>1693.1</v>
      </c>
      <c r="H213" s="20">
        <f>H215+H214</f>
        <v>0</v>
      </c>
      <c r="I213" s="20">
        <f>I215+I214</f>
        <v>1693.1</v>
      </c>
      <c r="J213" s="20">
        <f>J215+J214</f>
        <v>0</v>
      </c>
      <c r="K213" s="38"/>
    </row>
    <row r="214" spans="1:11" ht="15.75">
      <c r="A214" s="7" t="s">
        <v>88</v>
      </c>
      <c r="B214" s="8" t="s">
        <v>193</v>
      </c>
      <c r="C214" s="8" t="s">
        <v>112</v>
      </c>
      <c r="D214" s="8" t="s">
        <v>107</v>
      </c>
      <c r="E214" s="8" t="s">
        <v>167</v>
      </c>
      <c r="F214" s="9" t="s">
        <v>76</v>
      </c>
      <c r="G214" s="20">
        <v>28.1</v>
      </c>
      <c r="H214" s="20"/>
      <c r="I214" s="20">
        <v>28.1</v>
      </c>
      <c r="J214" s="20"/>
      <c r="K214" s="38"/>
    </row>
    <row r="215" spans="1:11" ht="15.75">
      <c r="A215" s="7" t="s">
        <v>147</v>
      </c>
      <c r="B215" s="8" t="s">
        <v>193</v>
      </c>
      <c r="C215" s="8" t="s">
        <v>112</v>
      </c>
      <c r="D215" s="8" t="s">
        <v>107</v>
      </c>
      <c r="E215" s="8" t="s">
        <v>167</v>
      </c>
      <c r="F215" s="9" t="s">
        <v>148</v>
      </c>
      <c r="G215" s="20">
        <v>1665</v>
      </c>
      <c r="H215" s="20"/>
      <c r="I215" s="20">
        <v>1665</v>
      </c>
      <c r="J215" s="20"/>
      <c r="K215" s="38"/>
    </row>
    <row r="216" spans="1:11" ht="15.75">
      <c r="A216" s="10" t="s">
        <v>168</v>
      </c>
      <c r="B216" s="11" t="s">
        <v>193</v>
      </c>
      <c r="C216" s="11" t="s">
        <v>112</v>
      </c>
      <c r="D216" s="11" t="s">
        <v>111</v>
      </c>
      <c r="E216" s="11"/>
      <c r="F216" s="12"/>
      <c r="G216" s="19">
        <f>G217</f>
        <v>990.6000000000001</v>
      </c>
      <c r="H216" s="19">
        <f>H217</f>
        <v>990.6000000000001</v>
      </c>
      <c r="I216" s="19">
        <f>I217</f>
        <v>990.6</v>
      </c>
      <c r="J216" s="19">
        <f>J217</f>
        <v>990.6</v>
      </c>
      <c r="K216" s="37">
        <f>I216/G216*100</f>
        <v>99.99999999999999</v>
      </c>
    </row>
    <row r="217" spans="1:11" ht="15.75">
      <c r="A217" s="7" t="s">
        <v>183</v>
      </c>
      <c r="B217" s="8" t="s">
        <v>193</v>
      </c>
      <c r="C217" s="8" t="s">
        <v>112</v>
      </c>
      <c r="D217" s="8" t="s">
        <v>111</v>
      </c>
      <c r="E217" s="8" t="s">
        <v>26</v>
      </c>
      <c r="F217" s="9"/>
      <c r="G217" s="20">
        <f>G219+G221</f>
        <v>990.6000000000001</v>
      </c>
      <c r="H217" s="20">
        <f>H219+H221</f>
        <v>990.6000000000001</v>
      </c>
      <c r="I217" s="20">
        <f>I219+I221</f>
        <v>990.6</v>
      </c>
      <c r="J217" s="20">
        <f>J219+J221</f>
        <v>990.6</v>
      </c>
      <c r="K217" s="38"/>
    </row>
    <row r="218" spans="1:11" ht="43.5">
      <c r="A218" s="6" t="s">
        <v>321</v>
      </c>
      <c r="B218" s="8" t="s">
        <v>193</v>
      </c>
      <c r="C218" s="8" t="s">
        <v>112</v>
      </c>
      <c r="D218" s="8" t="s">
        <v>111</v>
      </c>
      <c r="E218" s="8" t="s">
        <v>322</v>
      </c>
      <c r="F218" s="9"/>
      <c r="G218" s="20">
        <f>G219</f>
        <v>990.4000000000001</v>
      </c>
      <c r="H218" s="20">
        <f>H219</f>
        <v>990.4000000000001</v>
      </c>
      <c r="I218" s="20">
        <f>I219</f>
        <v>990.4</v>
      </c>
      <c r="J218" s="20">
        <f>J219</f>
        <v>990.4</v>
      </c>
      <c r="K218" s="38"/>
    </row>
    <row r="219" spans="1:11" ht="15.75">
      <c r="A219" s="7" t="s">
        <v>306</v>
      </c>
      <c r="B219" s="8" t="s">
        <v>193</v>
      </c>
      <c r="C219" s="8" t="s">
        <v>112</v>
      </c>
      <c r="D219" s="8" t="s">
        <v>111</v>
      </c>
      <c r="E219" s="8" t="s">
        <v>322</v>
      </c>
      <c r="F219" s="9" t="s">
        <v>303</v>
      </c>
      <c r="G219" s="20">
        <f>390.6-0.2+600</f>
        <v>990.4000000000001</v>
      </c>
      <c r="H219" s="20">
        <f>390.6-0.2+600</f>
        <v>990.4000000000001</v>
      </c>
      <c r="I219" s="20">
        <v>990.4</v>
      </c>
      <c r="J219" s="20">
        <v>990.4</v>
      </c>
      <c r="K219" s="38"/>
    </row>
    <row r="220" spans="1:11" ht="48" customHeight="1">
      <c r="A220" s="6" t="s">
        <v>330</v>
      </c>
      <c r="B220" s="8" t="s">
        <v>193</v>
      </c>
      <c r="C220" s="8" t="s">
        <v>112</v>
      </c>
      <c r="D220" s="8" t="s">
        <v>111</v>
      </c>
      <c r="E220" s="8" t="s">
        <v>327</v>
      </c>
      <c r="F220" s="9"/>
      <c r="G220" s="20">
        <f>G221</f>
        <v>0.2</v>
      </c>
      <c r="H220" s="20">
        <f>H221</f>
        <v>0.2</v>
      </c>
      <c r="I220" s="20">
        <f>I221</f>
        <v>0.2</v>
      </c>
      <c r="J220" s="20">
        <f>J221</f>
        <v>0.2</v>
      </c>
      <c r="K220" s="38"/>
    </row>
    <row r="221" spans="1:11" ht="15.75">
      <c r="A221" s="7" t="s">
        <v>306</v>
      </c>
      <c r="B221" s="8" t="s">
        <v>193</v>
      </c>
      <c r="C221" s="8" t="s">
        <v>112</v>
      </c>
      <c r="D221" s="8" t="s">
        <v>111</v>
      </c>
      <c r="E221" s="8" t="s">
        <v>327</v>
      </c>
      <c r="F221" s="9" t="s">
        <v>303</v>
      </c>
      <c r="G221" s="20">
        <v>0.2</v>
      </c>
      <c r="H221" s="20">
        <v>0.2</v>
      </c>
      <c r="I221" s="20">
        <v>0.2</v>
      </c>
      <c r="J221" s="20">
        <v>0.2</v>
      </c>
      <c r="K221" s="38"/>
    </row>
    <row r="222" spans="1:11" ht="15.75">
      <c r="A222" s="10" t="s">
        <v>169</v>
      </c>
      <c r="B222" s="11" t="s">
        <v>193</v>
      </c>
      <c r="C222" s="11" t="s">
        <v>112</v>
      </c>
      <c r="D222" s="11" t="s">
        <v>108</v>
      </c>
      <c r="E222" s="11"/>
      <c r="F222" s="12"/>
      <c r="G222" s="19">
        <f>G223+G230</f>
        <v>64367.100000000006</v>
      </c>
      <c r="H222" s="19">
        <f>H223+H230</f>
        <v>64367.100000000006</v>
      </c>
      <c r="I222" s="19">
        <f>I223+I230</f>
        <v>64106.1</v>
      </c>
      <c r="J222" s="19">
        <f>J223+J230</f>
        <v>64106.1</v>
      </c>
      <c r="K222" s="37">
        <f>I222/G222*100</f>
        <v>99.59451334610382</v>
      </c>
    </row>
    <row r="223" spans="1:11" ht="15.75">
      <c r="A223" s="7" t="s">
        <v>170</v>
      </c>
      <c r="B223" s="8" t="s">
        <v>193</v>
      </c>
      <c r="C223" s="8" t="s">
        <v>112</v>
      </c>
      <c r="D223" s="8" t="s">
        <v>108</v>
      </c>
      <c r="E223" s="8" t="s">
        <v>171</v>
      </c>
      <c r="F223" s="9"/>
      <c r="G223" s="20">
        <f>G224+G226+G228</f>
        <v>61321.100000000006</v>
      </c>
      <c r="H223" s="20">
        <f>H224+H226+H228</f>
        <v>61321.100000000006</v>
      </c>
      <c r="I223" s="20">
        <f>I224+I226+I228</f>
        <v>61321.1</v>
      </c>
      <c r="J223" s="20">
        <f>J224+J226+J228</f>
        <v>61321.1</v>
      </c>
      <c r="K223" s="38"/>
    </row>
    <row r="224" spans="1:11" ht="29.25">
      <c r="A224" s="6" t="s">
        <v>335</v>
      </c>
      <c r="B224" s="8" t="s">
        <v>193</v>
      </c>
      <c r="C224" s="8" t="s">
        <v>112</v>
      </c>
      <c r="D224" s="8" t="s">
        <v>108</v>
      </c>
      <c r="E224" s="8" t="s">
        <v>334</v>
      </c>
      <c r="F224" s="9"/>
      <c r="G224" s="20">
        <f>G225</f>
        <v>60743.100000000006</v>
      </c>
      <c r="H224" s="20">
        <f>H225</f>
        <v>60743.100000000006</v>
      </c>
      <c r="I224" s="20">
        <f>I225</f>
        <v>60743.1</v>
      </c>
      <c r="J224" s="20">
        <f>J225</f>
        <v>60743.1</v>
      </c>
      <c r="K224" s="38"/>
    </row>
    <row r="225" spans="1:11" ht="15.75">
      <c r="A225" s="7" t="s">
        <v>306</v>
      </c>
      <c r="B225" s="8" t="s">
        <v>193</v>
      </c>
      <c r="C225" s="8" t="s">
        <v>112</v>
      </c>
      <c r="D225" s="8" t="s">
        <v>108</v>
      </c>
      <c r="E225" s="8" t="s">
        <v>334</v>
      </c>
      <c r="F225" s="9" t="s">
        <v>303</v>
      </c>
      <c r="G225" s="20">
        <f>51178.3-300+9864.8</f>
        <v>60743.100000000006</v>
      </c>
      <c r="H225" s="20">
        <f>51178.3-300+9864.8</f>
        <v>60743.100000000006</v>
      </c>
      <c r="I225" s="20">
        <v>60743.1</v>
      </c>
      <c r="J225" s="20">
        <v>60743.1</v>
      </c>
      <c r="K225" s="38"/>
    </row>
    <row r="226" spans="1:11" ht="43.5">
      <c r="A226" s="6" t="s">
        <v>336</v>
      </c>
      <c r="B226" s="8" t="s">
        <v>193</v>
      </c>
      <c r="C226" s="8" t="s">
        <v>112</v>
      </c>
      <c r="D226" s="8" t="s">
        <v>108</v>
      </c>
      <c r="E226" s="8" t="s">
        <v>337</v>
      </c>
      <c r="F226" s="9"/>
      <c r="G226" s="20">
        <f>G227</f>
        <v>48</v>
      </c>
      <c r="H226" s="20">
        <f>H227</f>
        <v>48</v>
      </c>
      <c r="I226" s="20">
        <f>I227</f>
        <v>48</v>
      </c>
      <c r="J226" s="20">
        <f>J227</f>
        <v>48</v>
      </c>
      <c r="K226" s="38"/>
    </row>
    <row r="227" spans="1:11" ht="15.75">
      <c r="A227" s="7" t="s">
        <v>306</v>
      </c>
      <c r="B227" s="8" t="s">
        <v>193</v>
      </c>
      <c r="C227" s="8" t="s">
        <v>112</v>
      </c>
      <c r="D227" s="8" t="s">
        <v>108</v>
      </c>
      <c r="E227" s="8" t="s">
        <v>337</v>
      </c>
      <c r="F227" s="9" t="s">
        <v>303</v>
      </c>
      <c r="G227" s="20">
        <f>65.2-17.2</f>
        <v>48</v>
      </c>
      <c r="H227" s="20">
        <f>65.2-17.2</f>
        <v>48</v>
      </c>
      <c r="I227" s="20">
        <v>48</v>
      </c>
      <c r="J227" s="20">
        <v>48</v>
      </c>
      <c r="K227" s="38"/>
    </row>
    <row r="228" spans="1:11" ht="29.25">
      <c r="A228" s="6" t="s">
        <v>349</v>
      </c>
      <c r="B228" s="8" t="s">
        <v>193</v>
      </c>
      <c r="C228" s="8" t="s">
        <v>112</v>
      </c>
      <c r="D228" s="8" t="s">
        <v>108</v>
      </c>
      <c r="E228" s="8" t="s">
        <v>348</v>
      </c>
      <c r="F228" s="9"/>
      <c r="G228" s="20">
        <f>G229</f>
        <v>530</v>
      </c>
      <c r="H228" s="20">
        <f>H229</f>
        <v>530</v>
      </c>
      <c r="I228" s="20">
        <f>I229</f>
        <v>530</v>
      </c>
      <c r="J228" s="20">
        <f>J229</f>
        <v>530</v>
      </c>
      <c r="K228" s="38"/>
    </row>
    <row r="229" spans="1:11" ht="15.75">
      <c r="A229" s="7" t="s">
        <v>306</v>
      </c>
      <c r="B229" s="8" t="s">
        <v>193</v>
      </c>
      <c r="C229" s="8" t="s">
        <v>112</v>
      </c>
      <c r="D229" s="8" t="s">
        <v>108</v>
      </c>
      <c r="E229" s="8" t="s">
        <v>348</v>
      </c>
      <c r="F229" s="9" t="s">
        <v>303</v>
      </c>
      <c r="G229" s="20">
        <f>300+100+130</f>
        <v>530</v>
      </c>
      <c r="H229" s="20">
        <f>300+100+130</f>
        <v>530</v>
      </c>
      <c r="I229" s="20">
        <v>530</v>
      </c>
      <c r="J229" s="20">
        <v>530</v>
      </c>
      <c r="K229" s="38"/>
    </row>
    <row r="230" spans="1:11" ht="15.75">
      <c r="A230" s="7" t="s">
        <v>74</v>
      </c>
      <c r="B230" s="8" t="s">
        <v>193</v>
      </c>
      <c r="C230" s="8" t="s">
        <v>112</v>
      </c>
      <c r="D230" s="8" t="s">
        <v>108</v>
      </c>
      <c r="E230" s="8" t="s">
        <v>58</v>
      </c>
      <c r="F230" s="9"/>
      <c r="G230" s="20">
        <f aca="true" t="shared" si="20" ref="G230:J231">G231</f>
        <v>3046</v>
      </c>
      <c r="H230" s="20">
        <f t="shared" si="20"/>
        <v>3046</v>
      </c>
      <c r="I230" s="20">
        <f t="shared" si="20"/>
        <v>2785</v>
      </c>
      <c r="J230" s="20">
        <f t="shared" si="20"/>
        <v>2785</v>
      </c>
      <c r="K230" s="38"/>
    </row>
    <row r="231" spans="1:11" ht="43.5">
      <c r="A231" s="6" t="s">
        <v>172</v>
      </c>
      <c r="B231" s="8" t="s">
        <v>193</v>
      </c>
      <c r="C231" s="8" t="s">
        <v>112</v>
      </c>
      <c r="D231" s="8" t="s">
        <v>108</v>
      </c>
      <c r="E231" s="8" t="s">
        <v>152</v>
      </c>
      <c r="F231" s="9"/>
      <c r="G231" s="20">
        <f t="shared" si="20"/>
        <v>3046</v>
      </c>
      <c r="H231" s="20">
        <f t="shared" si="20"/>
        <v>3046</v>
      </c>
      <c r="I231" s="20">
        <f t="shared" si="20"/>
        <v>2785</v>
      </c>
      <c r="J231" s="20">
        <f t="shared" si="20"/>
        <v>2785</v>
      </c>
      <c r="K231" s="38"/>
    </row>
    <row r="232" spans="1:11" ht="15.75">
      <c r="A232" s="7" t="s">
        <v>306</v>
      </c>
      <c r="B232" s="8" t="s">
        <v>193</v>
      </c>
      <c r="C232" s="8" t="s">
        <v>112</v>
      </c>
      <c r="D232" s="8" t="s">
        <v>108</v>
      </c>
      <c r="E232" s="8" t="s">
        <v>152</v>
      </c>
      <c r="F232" s="9" t="s">
        <v>303</v>
      </c>
      <c r="G232" s="20">
        <f>2750-54+350</f>
        <v>3046</v>
      </c>
      <c r="H232" s="20">
        <f>2750-54+350</f>
        <v>3046</v>
      </c>
      <c r="I232" s="20">
        <v>2785</v>
      </c>
      <c r="J232" s="20">
        <v>2785</v>
      </c>
      <c r="K232" s="38"/>
    </row>
    <row r="233" spans="1:11" ht="15.75">
      <c r="A233" s="10" t="s">
        <v>384</v>
      </c>
      <c r="B233" s="8" t="s">
        <v>193</v>
      </c>
      <c r="C233" s="8" t="s">
        <v>112</v>
      </c>
      <c r="D233" s="8" t="s">
        <v>112</v>
      </c>
      <c r="E233" s="8"/>
      <c r="F233" s="9"/>
      <c r="G233" s="20">
        <f aca="true" t="shared" si="21" ref="G233:J238">G234</f>
        <v>506788.4</v>
      </c>
      <c r="H233" s="20">
        <f t="shared" si="21"/>
        <v>506699.9</v>
      </c>
      <c r="I233" s="20">
        <f t="shared" si="21"/>
        <v>499506.80000000005</v>
      </c>
      <c r="J233" s="20">
        <f t="shared" si="21"/>
        <v>499418.30000000005</v>
      </c>
      <c r="K233" s="38"/>
    </row>
    <row r="234" spans="1:11" ht="15.75">
      <c r="A234" s="7" t="s">
        <v>219</v>
      </c>
      <c r="B234" s="8" t="s">
        <v>193</v>
      </c>
      <c r="C234" s="8" t="s">
        <v>112</v>
      </c>
      <c r="D234" s="8" t="s">
        <v>112</v>
      </c>
      <c r="E234" s="8" t="s">
        <v>218</v>
      </c>
      <c r="F234" s="9"/>
      <c r="G234" s="20">
        <f t="shared" si="21"/>
        <v>506788.4</v>
      </c>
      <c r="H234" s="20">
        <f t="shared" si="21"/>
        <v>506699.9</v>
      </c>
      <c r="I234" s="20">
        <f t="shared" si="21"/>
        <v>499506.80000000005</v>
      </c>
      <c r="J234" s="20">
        <f t="shared" si="21"/>
        <v>499418.30000000005</v>
      </c>
      <c r="K234" s="38"/>
    </row>
    <row r="235" spans="1:11" ht="51.75" customHeight="1">
      <c r="A235" s="6" t="s">
        <v>382</v>
      </c>
      <c r="B235" s="8" t="s">
        <v>193</v>
      </c>
      <c r="C235" s="8" t="s">
        <v>112</v>
      </c>
      <c r="D235" s="8" t="s">
        <v>112</v>
      </c>
      <c r="E235" s="8" t="s">
        <v>381</v>
      </c>
      <c r="F235" s="9"/>
      <c r="G235" s="20">
        <f>G238+G236</f>
        <v>506788.4</v>
      </c>
      <c r="H235" s="20">
        <f>H238+H236</f>
        <v>506699.9</v>
      </c>
      <c r="I235" s="20">
        <f>I238+I236</f>
        <v>499506.80000000005</v>
      </c>
      <c r="J235" s="20">
        <f>J238+J236</f>
        <v>499418.30000000005</v>
      </c>
      <c r="K235" s="38"/>
    </row>
    <row r="236" spans="1:11" ht="51.75" customHeight="1">
      <c r="A236" s="6" t="s">
        <v>451</v>
      </c>
      <c r="B236" s="8" t="s">
        <v>193</v>
      </c>
      <c r="C236" s="8" t="s">
        <v>112</v>
      </c>
      <c r="D236" s="8" t="s">
        <v>112</v>
      </c>
      <c r="E236" s="8" t="s">
        <v>450</v>
      </c>
      <c r="F236" s="9"/>
      <c r="G236" s="20">
        <f>G237</f>
        <v>231980</v>
      </c>
      <c r="H236" s="20">
        <f>H237</f>
        <v>231980</v>
      </c>
      <c r="I236" s="20">
        <f>I237</f>
        <v>231967.6</v>
      </c>
      <c r="J236" s="20">
        <f>J237</f>
        <v>231967.6</v>
      </c>
      <c r="K236" s="38"/>
    </row>
    <row r="237" spans="1:11" ht="24" customHeight="1">
      <c r="A237" s="7" t="s">
        <v>306</v>
      </c>
      <c r="B237" s="8" t="s">
        <v>193</v>
      </c>
      <c r="C237" s="8" t="s">
        <v>112</v>
      </c>
      <c r="D237" s="8" t="s">
        <v>112</v>
      </c>
      <c r="E237" s="8" t="s">
        <v>450</v>
      </c>
      <c r="F237" s="9" t="s">
        <v>303</v>
      </c>
      <c r="G237" s="20">
        <v>231980</v>
      </c>
      <c r="H237" s="20">
        <v>231980</v>
      </c>
      <c r="I237" s="20">
        <v>231967.6</v>
      </c>
      <c r="J237" s="20">
        <v>231967.6</v>
      </c>
      <c r="K237" s="38"/>
    </row>
    <row r="238" spans="1:11" ht="29.25">
      <c r="A238" s="6" t="s">
        <v>383</v>
      </c>
      <c r="B238" s="8" t="s">
        <v>193</v>
      </c>
      <c r="C238" s="8" t="s">
        <v>112</v>
      </c>
      <c r="D238" s="8" t="s">
        <v>112</v>
      </c>
      <c r="E238" s="8" t="s">
        <v>380</v>
      </c>
      <c r="F238" s="9"/>
      <c r="G238" s="20">
        <f t="shared" si="21"/>
        <v>274808.4</v>
      </c>
      <c r="H238" s="20">
        <f t="shared" si="21"/>
        <v>274719.9</v>
      </c>
      <c r="I238" s="20">
        <f t="shared" si="21"/>
        <v>267539.2</v>
      </c>
      <c r="J238" s="20">
        <f t="shared" si="21"/>
        <v>267450.7</v>
      </c>
      <c r="K238" s="38"/>
    </row>
    <row r="239" spans="1:11" ht="15.75">
      <c r="A239" s="7" t="s">
        <v>306</v>
      </c>
      <c r="B239" s="8" t="s">
        <v>193</v>
      </c>
      <c r="C239" s="8" t="s">
        <v>112</v>
      </c>
      <c r="D239" s="8" t="s">
        <v>112</v>
      </c>
      <c r="E239" s="8" t="s">
        <v>380</v>
      </c>
      <c r="F239" s="9" t="s">
        <v>303</v>
      </c>
      <c r="G239" s="20">
        <v>274808.4</v>
      </c>
      <c r="H239" s="20">
        <v>274719.9</v>
      </c>
      <c r="I239" s="20">
        <v>267539.2</v>
      </c>
      <c r="J239" s="20">
        <v>267450.7</v>
      </c>
      <c r="K239" s="38"/>
    </row>
    <row r="240" spans="1:11" ht="15.75">
      <c r="A240" s="10" t="s">
        <v>1</v>
      </c>
      <c r="B240" s="11" t="s">
        <v>193</v>
      </c>
      <c r="C240" s="11" t="s">
        <v>113</v>
      </c>
      <c r="D240" s="11"/>
      <c r="E240" s="11"/>
      <c r="F240" s="12"/>
      <c r="G240" s="19">
        <f>G241+G245+G252</f>
        <v>50988.2</v>
      </c>
      <c r="H240" s="19">
        <f>H241+H245+H252</f>
        <v>43773</v>
      </c>
      <c r="I240" s="19">
        <f>I241+I245+I252</f>
        <v>47561.3</v>
      </c>
      <c r="J240" s="19">
        <f>J241+J245+J252</f>
        <v>40550.4</v>
      </c>
      <c r="K240" s="37">
        <f>I240/G240*100</f>
        <v>93.27903318807098</v>
      </c>
    </row>
    <row r="241" spans="1:11" ht="15.75">
      <c r="A241" s="10" t="s">
        <v>29</v>
      </c>
      <c r="B241" s="11" t="s">
        <v>193</v>
      </c>
      <c r="C241" s="11" t="s">
        <v>113</v>
      </c>
      <c r="D241" s="11" t="s">
        <v>106</v>
      </c>
      <c r="E241" s="11"/>
      <c r="F241" s="12"/>
      <c r="G241" s="19">
        <f>G242</f>
        <v>1375.4</v>
      </c>
      <c r="H241" s="19">
        <f aca="true" t="shared" si="22" ref="H241:J243">H242</f>
        <v>0</v>
      </c>
      <c r="I241" s="19">
        <f t="shared" si="22"/>
        <v>1275.8</v>
      </c>
      <c r="J241" s="19">
        <f t="shared" si="22"/>
        <v>0</v>
      </c>
      <c r="K241" s="37">
        <f>I241/G241*100</f>
        <v>92.75847026319614</v>
      </c>
    </row>
    <row r="242" spans="1:11" ht="15.75">
      <c r="A242" s="6" t="s">
        <v>136</v>
      </c>
      <c r="B242" s="8" t="s">
        <v>193</v>
      </c>
      <c r="C242" s="8" t="s">
        <v>113</v>
      </c>
      <c r="D242" s="8" t="s">
        <v>106</v>
      </c>
      <c r="E242" s="8" t="s">
        <v>137</v>
      </c>
      <c r="F242" s="9"/>
      <c r="G242" s="20">
        <f>G243</f>
        <v>1375.4</v>
      </c>
      <c r="H242" s="20">
        <f t="shared" si="22"/>
        <v>0</v>
      </c>
      <c r="I242" s="20">
        <f t="shared" si="22"/>
        <v>1275.8</v>
      </c>
      <c r="J242" s="20">
        <f t="shared" si="22"/>
        <v>0</v>
      </c>
      <c r="K242" s="38"/>
    </row>
    <row r="243" spans="1:11" ht="29.25">
      <c r="A243" s="6" t="s">
        <v>70</v>
      </c>
      <c r="B243" s="8" t="s">
        <v>193</v>
      </c>
      <c r="C243" s="8" t="s">
        <v>113</v>
      </c>
      <c r="D243" s="8" t="s">
        <v>106</v>
      </c>
      <c r="E243" s="8" t="s">
        <v>138</v>
      </c>
      <c r="F243" s="9"/>
      <c r="G243" s="20">
        <f>G244</f>
        <v>1375.4</v>
      </c>
      <c r="H243" s="20">
        <f t="shared" si="22"/>
        <v>0</v>
      </c>
      <c r="I243" s="20">
        <f t="shared" si="22"/>
        <v>1275.8</v>
      </c>
      <c r="J243" s="20">
        <f t="shared" si="22"/>
        <v>0</v>
      </c>
      <c r="K243" s="38"/>
    </row>
    <row r="244" spans="1:11" ht="15.75">
      <c r="A244" s="6" t="s">
        <v>92</v>
      </c>
      <c r="B244" s="8" t="s">
        <v>193</v>
      </c>
      <c r="C244" s="8" t="s">
        <v>113</v>
      </c>
      <c r="D244" s="8" t="s">
        <v>106</v>
      </c>
      <c r="E244" s="8" t="s">
        <v>138</v>
      </c>
      <c r="F244" s="9" t="s">
        <v>34</v>
      </c>
      <c r="G244" s="20">
        <v>1375.4</v>
      </c>
      <c r="H244" s="20"/>
      <c r="I244" s="20">
        <v>1275.8</v>
      </c>
      <c r="J244" s="20"/>
      <c r="K244" s="38"/>
    </row>
    <row r="245" spans="1:11" ht="15.75">
      <c r="A245" s="10" t="s">
        <v>59</v>
      </c>
      <c r="B245" s="11" t="s">
        <v>193</v>
      </c>
      <c r="C245" s="11" t="s">
        <v>113</v>
      </c>
      <c r="D245" s="11" t="s">
        <v>111</v>
      </c>
      <c r="E245" s="11"/>
      <c r="F245" s="12"/>
      <c r="G245" s="19">
        <f>G246</f>
        <v>44643.2</v>
      </c>
      <c r="H245" s="19">
        <f>H246</f>
        <v>43703</v>
      </c>
      <c r="I245" s="19">
        <f>I246</f>
        <v>41421.8</v>
      </c>
      <c r="J245" s="19">
        <f>J246</f>
        <v>40550.4</v>
      </c>
      <c r="K245" s="37">
        <f>I245/G245*100</f>
        <v>92.78411941796288</v>
      </c>
    </row>
    <row r="246" spans="1:11" ht="15.75">
      <c r="A246" s="7" t="s">
        <v>139</v>
      </c>
      <c r="B246" s="8" t="s">
        <v>193</v>
      </c>
      <c r="C246" s="8" t="s">
        <v>113</v>
      </c>
      <c r="D246" s="8" t="s">
        <v>111</v>
      </c>
      <c r="E246" s="8" t="s">
        <v>54</v>
      </c>
      <c r="F246" s="9"/>
      <c r="G246" s="20">
        <f>G247+G250</f>
        <v>44643.2</v>
      </c>
      <c r="H246" s="20">
        <f>H247+H250</f>
        <v>43703</v>
      </c>
      <c r="I246" s="20">
        <f>I247+I250</f>
        <v>41421.8</v>
      </c>
      <c r="J246" s="20">
        <f>J247+J250</f>
        <v>40550.4</v>
      </c>
      <c r="K246" s="37">
        <f>I246/G246*100</f>
        <v>92.78411941796288</v>
      </c>
    </row>
    <row r="247" spans="1:11" ht="15.75">
      <c r="A247" s="7" t="s">
        <v>140</v>
      </c>
      <c r="B247" s="8" t="s">
        <v>193</v>
      </c>
      <c r="C247" s="8" t="s">
        <v>113</v>
      </c>
      <c r="D247" s="8" t="s">
        <v>111</v>
      </c>
      <c r="E247" s="8" t="s">
        <v>177</v>
      </c>
      <c r="F247" s="9"/>
      <c r="G247" s="20">
        <f>G248+G249</f>
        <v>940.2</v>
      </c>
      <c r="H247" s="20">
        <f>H248+H249</f>
        <v>0</v>
      </c>
      <c r="I247" s="20">
        <f>I248+I249</f>
        <v>871.4</v>
      </c>
      <c r="J247" s="20">
        <f>J248+J249</f>
        <v>0</v>
      </c>
      <c r="K247" s="38"/>
    </row>
    <row r="248" spans="1:11" ht="15.75">
      <c r="A248" s="6" t="s">
        <v>92</v>
      </c>
      <c r="B248" s="8" t="s">
        <v>193</v>
      </c>
      <c r="C248" s="8" t="s">
        <v>113</v>
      </c>
      <c r="D248" s="8" t="s">
        <v>111</v>
      </c>
      <c r="E248" s="8" t="s">
        <v>177</v>
      </c>
      <c r="F248" s="8" t="s">
        <v>34</v>
      </c>
      <c r="G248" s="20">
        <v>892.6</v>
      </c>
      <c r="H248" s="20"/>
      <c r="I248" s="20">
        <v>823.8</v>
      </c>
      <c r="J248" s="20"/>
      <c r="K248" s="38"/>
    </row>
    <row r="249" spans="1:11" ht="15.75">
      <c r="A249" s="7" t="s">
        <v>86</v>
      </c>
      <c r="B249" s="8" t="s">
        <v>193</v>
      </c>
      <c r="C249" s="8" t="s">
        <v>113</v>
      </c>
      <c r="D249" s="8" t="s">
        <v>111</v>
      </c>
      <c r="E249" s="8" t="s">
        <v>177</v>
      </c>
      <c r="F249" s="8" t="s">
        <v>150</v>
      </c>
      <c r="G249" s="20">
        <v>47.6</v>
      </c>
      <c r="H249" s="20"/>
      <c r="I249" s="20">
        <v>47.6</v>
      </c>
      <c r="J249" s="20"/>
      <c r="K249" s="38"/>
    </row>
    <row r="250" spans="1:11" ht="29.25">
      <c r="A250" s="6" t="s">
        <v>85</v>
      </c>
      <c r="B250" s="8" t="s">
        <v>193</v>
      </c>
      <c r="C250" s="8" t="s">
        <v>113</v>
      </c>
      <c r="D250" s="8" t="s">
        <v>111</v>
      </c>
      <c r="E250" s="8" t="s">
        <v>141</v>
      </c>
      <c r="F250" s="9"/>
      <c r="G250" s="20">
        <f>G251</f>
        <v>43703</v>
      </c>
      <c r="H250" s="20">
        <f>H251</f>
        <v>43703</v>
      </c>
      <c r="I250" s="20">
        <f>I251</f>
        <v>40550.4</v>
      </c>
      <c r="J250" s="20">
        <f>J251</f>
        <v>40550.4</v>
      </c>
      <c r="K250" s="38"/>
    </row>
    <row r="251" spans="1:11" ht="29.25">
      <c r="A251" s="6" t="s">
        <v>416</v>
      </c>
      <c r="B251" s="8" t="s">
        <v>193</v>
      </c>
      <c r="C251" s="8" t="s">
        <v>113</v>
      </c>
      <c r="D251" s="8" t="s">
        <v>111</v>
      </c>
      <c r="E251" s="8" t="s">
        <v>141</v>
      </c>
      <c r="F251" s="8" t="s">
        <v>415</v>
      </c>
      <c r="G251" s="20">
        <f>38744+4959</f>
        <v>43703</v>
      </c>
      <c r="H251" s="20">
        <f>38744+4959</f>
        <v>43703</v>
      </c>
      <c r="I251" s="20">
        <v>40550.4</v>
      </c>
      <c r="J251" s="20">
        <v>40550.4</v>
      </c>
      <c r="K251" s="38"/>
    </row>
    <row r="252" spans="1:11" ht="15.75">
      <c r="A252" s="10" t="s">
        <v>77</v>
      </c>
      <c r="B252" s="11" t="s">
        <v>193</v>
      </c>
      <c r="C252" s="11" t="s">
        <v>113</v>
      </c>
      <c r="D252" s="11" t="s">
        <v>122</v>
      </c>
      <c r="E252" s="11"/>
      <c r="F252" s="12"/>
      <c r="G252" s="19">
        <f>G259+G253+G255</f>
        <v>4969.599999999999</v>
      </c>
      <c r="H252" s="19">
        <f>H259+H253+H255</f>
        <v>70</v>
      </c>
      <c r="I252" s="19">
        <f>I259+I253+I255</f>
        <v>4863.7</v>
      </c>
      <c r="J252" s="19">
        <f>J259+J253+J255</f>
        <v>0</v>
      </c>
      <c r="K252" s="37">
        <f>I252/G252*100</f>
        <v>97.86904378622022</v>
      </c>
    </row>
    <row r="253" spans="1:11" ht="15.75">
      <c r="A253" s="7" t="s">
        <v>492</v>
      </c>
      <c r="B253" s="8" t="s">
        <v>193</v>
      </c>
      <c r="C253" s="8" t="s">
        <v>113</v>
      </c>
      <c r="D253" s="8" t="s">
        <v>122</v>
      </c>
      <c r="E253" s="8" t="s">
        <v>490</v>
      </c>
      <c r="F253" s="9"/>
      <c r="G253" s="20">
        <f>G254</f>
        <v>115.2</v>
      </c>
      <c r="H253" s="20">
        <f>H254</f>
        <v>0</v>
      </c>
      <c r="I253" s="20">
        <f>I254</f>
        <v>115.2</v>
      </c>
      <c r="J253" s="20">
        <f>J254</f>
        <v>0</v>
      </c>
      <c r="K253" s="38"/>
    </row>
    <row r="254" spans="1:11" ht="15.75">
      <c r="A254" s="7" t="s">
        <v>88</v>
      </c>
      <c r="B254" s="8" t="s">
        <v>193</v>
      </c>
      <c r="C254" s="8" t="s">
        <v>113</v>
      </c>
      <c r="D254" s="8" t="s">
        <v>122</v>
      </c>
      <c r="E254" s="8" t="s">
        <v>491</v>
      </c>
      <c r="F254" s="9" t="s">
        <v>76</v>
      </c>
      <c r="G254" s="20">
        <v>115.2</v>
      </c>
      <c r="H254" s="19"/>
      <c r="I254" s="20">
        <v>115.2</v>
      </c>
      <c r="J254" s="19"/>
      <c r="K254" s="38"/>
    </row>
    <row r="255" spans="1:11" ht="15.75">
      <c r="A255" s="7" t="s">
        <v>219</v>
      </c>
      <c r="B255" s="8" t="s">
        <v>193</v>
      </c>
      <c r="C255" s="8" t="s">
        <v>113</v>
      </c>
      <c r="D255" s="8" t="s">
        <v>122</v>
      </c>
      <c r="E255" s="8" t="s">
        <v>58</v>
      </c>
      <c r="F255" s="12"/>
      <c r="G255" s="20">
        <f aca="true" t="shared" si="23" ref="G255:J257">G256</f>
        <v>70</v>
      </c>
      <c r="H255" s="20">
        <f t="shared" si="23"/>
        <v>70</v>
      </c>
      <c r="I255" s="20">
        <f t="shared" si="23"/>
        <v>0</v>
      </c>
      <c r="J255" s="20">
        <f t="shared" si="23"/>
        <v>0</v>
      </c>
      <c r="K255" s="38"/>
    </row>
    <row r="256" spans="1:11" ht="72">
      <c r="A256" s="6" t="s">
        <v>503</v>
      </c>
      <c r="B256" s="8" t="s">
        <v>193</v>
      </c>
      <c r="C256" s="8" t="s">
        <v>113</v>
      </c>
      <c r="D256" s="8" t="s">
        <v>122</v>
      </c>
      <c r="E256" s="8" t="s">
        <v>485</v>
      </c>
      <c r="F256" s="12"/>
      <c r="G256" s="20">
        <f t="shared" si="23"/>
        <v>70</v>
      </c>
      <c r="H256" s="20">
        <f t="shared" si="23"/>
        <v>70</v>
      </c>
      <c r="I256" s="20">
        <f t="shared" si="23"/>
        <v>0</v>
      </c>
      <c r="J256" s="20">
        <f t="shared" si="23"/>
        <v>0</v>
      </c>
      <c r="K256" s="38"/>
    </row>
    <row r="257" spans="1:11" ht="29.25">
      <c r="A257" s="6" t="s">
        <v>487</v>
      </c>
      <c r="B257" s="8" t="s">
        <v>193</v>
      </c>
      <c r="C257" s="8" t="s">
        <v>113</v>
      </c>
      <c r="D257" s="8" t="s">
        <v>122</v>
      </c>
      <c r="E257" s="8" t="s">
        <v>486</v>
      </c>
      <c r="F257" s="9"/>
      <c r="G257" s="20">
        <f t="shared" si="23"/>
        <v>70</v>
      </c>
      <c r="H257" s="20">
        <f t="shared" si="23"/>
        <v>70</v>
      </c>
      <c r="I257" s="20">
        <f t="shared" si="23"/>
        <v>0</v>
      </c>
      <c r="J257" s="20">
        <f t="shared" si="23"/>
        <v>0</v>
      </c>
      <c r="K257" s="38"/>
    </row>
    <row r="258" spans="1:11" ht="15.75">
      <c r="A258" s="7" t="s">
        <v>86</v>
      </c>
      <c r="B258" s="8" t="s">
        <v>193</v>
      </c>
      <c r="C258" s="8" t="s">
        <v>113</v>
      </c>
      <c r="D258" s="8" t="s">
        <v>122</v>
      </c>
      <c r="E258" s="8" t="s">
        <v>486</v>
      </c>
      <c r="F258" s="9" t="s">
        <v>150</v>
      </c>
      <c r="G258" s="20">
        <v>70</v>
      </c>
      <c r="H258" s="20">
        <v>70</v>
      </c>
      <c r="I258" s="20"/>
      <c r="J258" s="19"/>
      <c r="K258" s="38"/>
    </row>
    <row r="259" spans="1:11" ht="15.75">
      <c r="A259" s="7" t="s">
        <v>78</v>
      </c>
      <c r="B259" s="8" t="s">
        <v>193</v>
      </c>
      <c r="C259" s="8" t="s">
        <v>113</v>
      </c>
      <c r="D259" s="8" t="s">
        <v>122</v>
      </c>
      <c r="E259" s="8" t="s">
        <v>79</v>
      </c>
      <c r="F259" s="9"/>
      <c r="G259" s="20">
        <f>G260</f>
        <v>4784.4</v>
      </c>
      <c r="H259" s="20">
        <f>H260</f>
        <v>0</v>
      </c>
      <c r="I259" s="20">
        <f>I260</f>
        <v>4748.5</v>
      </c>
      <c r="J259" s="20">
        <f>J260</f>
        <v>0</v>
      </c>
      <c r="K259" s="38"/>
    </row>
    <row r="260" spans="1:11" ht="43.5">
      <c r="A260" s="15" t="s">
        <v>240</v>
      </c>
      <c r="B260" s="8" t="s">
        <v>193</v>
      </c>
      <c r="C260" s="8" t="s">
        <v>113</v>
      </c>
      <c r="D260" s="8" t="s">
        <v>122</v>
      </c>
      <c r="E260" s="8" t="s">
        <v>143</v>
      </c>
      <c r="F260" s="9"/>
      <c r="G260" s="20">
        <f>G262+G261</f>
        <v>4784.4</v>
      </c>
      <c r="H260" s="20">
        <f>H262+H261</f>
        <v>0</v>
      </c>
      <c r="I260" s="20">
        <f>I262+I261</f>
        <v>4748.5</v>
      </c>
      <c r="J260" s="20">
        <f>J262+J261</f>
        <v>0</v>
      </c>
      <c r="K260" s="38"/>
    </row>
    <row r="261" spans="1:11" ht="15.75">
      <c r="A261" s="6" t="s">
        <v>92</v>
      </c>
      <c r="B261" s="8" t="s">
        <v>193</v>
      </c>
      <c r="C261" s="8" t="s">
        <v>113</v>
      </c>
      <c r="D261" s="8" t="s">
        <v>122</v>
      </c>
      <c r="E261" s="8" t="s">
        <v>143</v>
      </c>
      <c r="F261" s="9" t="s">
        <v>34</v>
      </c>
      <c r="G261" s="20">
        <v>136.9</v>
      </c>
      <c r="H261" s="20"/>
      <c r="I261" s="20">
        <v>136.9</v>
      </c>
      <c r="J261" s="20"/>
      <c r="K261" s="38"/>
    </row>
    <row r="262" spans="1:11" ht="15.75">
      <c r="A262" s="7" t="s">
        <v>86</v>
      </c>
      <c r="B262" s="8" t="s">
        <v>193</v>
      </c>
      <c r="C262" s="8" t="s">
        <v>113</v>
      </c>
      <c r="D262" s="8" t="s">
        <v>122</v>
      </c>
      <c r="E262" s="8" t="s">
        <v>143</v>
      </c>
      <c r="F262" s="8" t="s">
        <v>150</v>
      </c>
      <c r="G262" s="20">
        <v>4647.5</v>
      </c>
      <c r="H262" s="20"/>
      <c r="I262" s="20">
        <v>4611.6</v>
      </c>
      <c r="J262" s="20"/>
      <c r="K262" s="38"/>
    </row>
    <row r="263" spans="1:11" ht="15.75">
      <c r="A263" s="35" t="s">
        <v>134</v>
      </c>
      <c r="B263" s="11" t="s">
        <v>193</v>
      </c>
      <c r="C263" s="11" t="s">
        <v>188</v>
      </c>
      <c r="D263" s="11"/>
      <c r="E263" s="11"/>
      <c r="F263" s="12"/>
      <c r="G263" s="19">
        <f>G264</f>
        <v>338202.6</v>
      </c>
      <c r="H263" s="19">
        <f>H264</f>
        <v>183348</v>
      </c>
      <c r="I263" s="19">
        <f>I264</f>
        <v>337527.5</v>
      </c>
      <c r="J263" s="19">
        <f>J264</f>
        <v>183348</v>
      </c>
      <c r="K263" s="37">
        <f>I263/G263*100</f>
        <v>99.800385922521</v>
      </c>
    </row>
    <row r="264" spans="1:11" ht="15.75">
      <c r="A264" s="35" t="s">
        <v>192</v>
      </c>
      <c r="B264" s="11" t="s">
        <v>193</v>
      </c>
      <c r="C264" s="11" t="s">
        <v>188</v>
      </c>
      <c r="D264" s="11" t="s">
        <v>106</v>
      </c>
      <c r="E264" s="11"/>
      <c r="F264" s="12"/>
      <c r="G264" s="19">
        <f>G269+G265</f>
        <v>338202.6</v>
      </c>
      <c r="H264" s="19">
        <f>H269+H265</f>
        <v>183348</v>
      </c>
      <c r="I264" s="19">
        <f>I269+I265</f>
        <v>337527.5</v>
      </c>
      <c r="J264" s="19">
        <f>J269+J265</f>
        <v>183348</v>
      </c>
      <c r="K264" s="37">
        <f>I264/G264*100</f>
        <v>99.800385922521</v>
      </c>
    </row>
    <row r="265" spans="1:11" ht="15.75">
      <c r="A265" s="7" t="s">
        <v>219</v>
      </c>
      <c r="B265" s="8" t="s">
        <v>193</v>
      </c>
      <c r="C265" s="8" t="s">
        <v>188</v>
      </c>
      <c r="D265" s="8" t="s">
        <v>106</v>
      </c>
      <c r="E265" s="8" t="s">
        <v>218</v>
      </c>
      <c r="F265" s="9"/>
      <c r="G265" s="20">
        <f aca="true" t="shared" si="24" ref="G265:J267">G266</f>
        <v>180099.5</v>
      </c>
      <c r="H265" s="20">
        <f t="shared" si="24"/>
        <v>180000</v>
      </c>
      <c r="I265" s="20">
        <f t="shared" si="24"/>
        <v>180099.5</v>
      </c>
      <c r="J265" s="20">
        <f t="shared" si="24"/>
        <v>180000</v>
      </c>
      <c r="K265" s="38"/>
    </row>
    <row r="266" spans="1:11" ht="29.25">
      <c r="A266" s="6" t="s">
        <v>271</v>
      </c>
      <c r="B266" s="8" t="s">
        <v>193</v>
      </c>
      <c r="C266" s="8" t="s">
        <v>188</v>
      </c>
      <c r="D266" s="8" t="s">
        <v>106</v>
      </c>
      <c r="E266" s="8" t="s">
        <v>286</v>
      </c>
      <c r="F266" s="9"/>
      <c r="G266" s="20">
        <f t="shared" si="24"/>
        <v>180099.5</v>
      </c>
      <c r="H266" s="20">
        <f t="shared" si="24"/>
        <v>180000</v>
      </c>
      <c r="I266" s="20">
        <f t="shared" si="24"/>
        <v>180099.5</v>
      </c>
      <c r="J266" s="20">
        <f t="shared" si="24"/>
        <v>180000</v>
      </c>
      <c r="K266" s="38"/>
    </row>
    <row r="267" spans="1:11" ht="18.75" customHeight="1">
      <c r="A267" s="6" t="s">
        <v>285</v>
      </c>
      <c r="B267" s="8" t="s">
        <v>193</v>
      </c>
      <c r="C267" s="8" t="s">
        <v>188</v>
      </c>
      <c r="D267" s="8" t="s">
        <v>106</v>
      </c>
      <c r="E267" s="8" t="s">
        <v>286</v>
      </c>
      <c r="F267" s="9"/>
      <c r="G267" s="20">
        <f t="shared" si="24"/>
        <v>180099.5</v>
      </c>
      <c r="H267" s="20">
        <f t="shared" si="24"/>
        <v>180000</v>
      </c>
      <c r="I267" s="20">
        <f t="shared" si="24"/>
        <v>180099.5</v>
      </c>
      <c r="J267" s="20">
        <f t="shared" si="24"/>
        <v>180000</v>
      </c>
      <c r="K267" s="38"/>
    </row>
    <row r="268" spans="1:11" ht="105">
      <c r="A268" s="6" t="s">
        <v>288</v>
      </c>
      <c r="B268" s="8" t="s">
        <v>193</v>
      </c>
      <c r="C268" s="8" t="s">
        <v>188</v>
      </c>
      <c r="D268" s="8" t="s">
        <v>106</v>
      </c>
      <c r="E268" s="8" t="s">
        <v>286</v>
      </c>
      <c r="F268" s="9" t="s">
        <v>407</v>
      </c>
      <c r="G268" s="20">
        <f>130000+99.5+50000</f>
        <v>180099.5</v>
      </c>
      <c r="H268" s="20">
        <f>130000+50000</f>
        <v>180000</v>
      </c>
      <c r="I268" s="20">
        <v>180099.5</v>
      </c>
      <c r="J268" s="20">
        <v>180000</v>
      </c>
      <c r="K268" s="38"/>
    </row>
    <row r="269" spans="1:11" ht="15.75">
      <c r="A269" s="7" t="s">
        <v>78</v>
      </c>
      <c r="B269" s="8" t="s">
        <v>193</v>
      </c>
      <c r="C269" s="8" t="s">
        <v>188</v>
      </c>
      <c r="D269" s="8" t="s">
        <v>106</v>
      </c>
      <c r="E269" s="8" t="s">
        <v>79</v>
      </c>
      <c r="F269" s="9"/>
      <c r="G269" s="20">
        <f>G271+G270</f>
        <v>158103.1</v>
      </c>
      <c r="H269" s="20">
        <f>H271+H270</f>
        <v>3348</v>
      </c>
      <c r="I269" s="20">
        <f>I271+I270</f>
        <v>157428</v>
      </c>
      <c r="J269" s="20">
        <f>J271+J270</f>
        <v>3348</v>
      </c>
      <c r="K269" s="38"/>
    </row>
    <row r="270" spans="1:11" ht="15.75">
      <c r="A270" s="7" t="s">
        <v>86</v>
      </c>
      <c r="B270" s="8" t="s">
        <v>193</v>
      </c>
      <c r="C270" s="8" t="s">
        <v>188</v>
      </c>
      <c r="D270" s="8" t="s">
        <v>106</v>
      </c>
      <c r="E270" s="8" t="s">
        <v>259</v>
      </c>
      <c r="F270" s="9" t="s">
        <v>150</v>
      </c>
      <c r="G270" s="20">
        <v>114.1</v>
      </c>
      <c r="H270" s="20"/>
      <c r="I270" s="20">
        <v>114.1</v>
      </c>
      <c r="J270" s="20"/>
      <c r="K270" s="38"/>
    </row>
    <row r="271" spans="1:11" ht="122.25" customHeight="1">
      <c r="A271" s="6" t="s">
        <v>241</v>
      </c>
      <c r="B271" s="8" t="s">
        <v>193</v>
      </c>
      <c r="C271" s="8" t="s">
        <v>188</v>
      </c>
      <c r="D271" s="8" t="s">
        <v>106</v>
      </c>
      <c r="E271" s="8" t="s">
        <v>259</v>
      </c>
      <c r="F271" s="9"/>
      <c r="G271" s="20">
        <f>G272</f>
        <v>157989</v>
      </c>
      <c r="H271" s="20">
        <f>H272</f>
        <v>3348</v>
      </c>
      <c r="I271" s="20">
        <f>I272</f>
        <v>157313.9</v>
      </c>
      <c r="J271" s="20">
        <f>J272</f>
        <v>3348</v>
      </c>
      <c r="K271" s="38"/>
    </row>
    <row r="272" spans="1:11" ht="18" customHeight="1">
      <c r="A272" s="6" t="s">
        <v>123</v>
      </c>
      <c r="B272" s="8" t="s">
        <v>193</v>
      </c>
      <c r="C272" s="8" t="s">
        <v>188</v>
      </c>
      <c r="D272" s="8" t="s">
        <v>106</v>
      </c>
      <c r="E272" s="8" t="s">
        <v>259</v>
      </c>
      <c r="F272" s="9" t="s">
        <v>40</v>
      </c>
      <c r="G272" s="20">
        <f>150000+47000-15012+15012-10000-30000+989</f>
        <v>157989</v>
      </c>
      <c r="H272" s="20">
        <v>3348</v>
      </c>
      <c r="I272" s="20">
        <v>157313.9</v>
      </c>
      <c r="J272" s="20">
        <v>3348</v>
      </c>
      <c r="K272" s="38"/>
    </row>
    <row r="273" spans="1:11" ht="30">
      <c r="A273" s="43" t="s">
        <v>268</v>
      </c>
      <c r="B273" s="11" t="s">
        <v>194</v>
      </c>
      <c r="C273" s="11"/>
      <c r="D273" s="11"/>
      <c r="E273" s="11"/>
      <c r="F273" s="12"/>
      <c r="G273" s="19">
        <f>G279+G390+G274</f>
        <v>1023689</v>
      </c>
      <c r="H273" s="19">
        <f>H279+H390+H274</f>
        <v>436244</v>
      </c>
      <c r="I273" s="19">
        <f>I279+I390+I274</f>
        <v>988328.5000000001</v>
      </c>
      <c r="J273" s="19">
        <f>J279+J390+J274</f>
        <v>432973.89999999997</v>
      </c>
      <c r="K273" s="37">
        <f>I273/G273*100</f>
        <v>96.54577708659565</v>
      </c>
    </row>
    <row r="274" spans="1:11" ht="30">
      <c r="A274" s="35" t="s">
        <v>71</v>
      </c>
      <c r="B274" s="11" t="s">
        <v>194</v>
      </c>
      <c r="C274" s="11" t="s">
        <v>111</v>
      </c>
      <c r="D274" s="11"/>
      <c r="E274" s="11"/>
      <c r="F274" s="12"/>
      <c r="G274" s="19">
        <f>G275</f>
        <v>550</v>
      </c>
      <c r="H274" s="19">
        <f aca="true" t="shared" si="25" ref="H274:J277">H275</f>
        <v>0</v>
      </c>
      <c r="I274" s="19">
        <f t="shared" si="25"/>
        <v>548.4</v>
      </c>
      <c r="J274" s="19">
        <f t="shared" si="25"/>
        <v>0</v>
      </c>
      <c r="K274" s="37">
        <f>I274/G274*100</f>
        <v>99.7090909090909</v>
      </c>
    </row>
    <row r="275" spans="1:11" ht="30">
      <c r="A275" s="35" t="s">
        <v>66</v>
      </c>
      <c r="B275" s="11" t="s">
        <v>194</v>
      </c>
      <c r="C275" s="11" t="s">
        <v>111</v>
      </c>
      <c r="D275" s="11" t="s">
        <v>110</v>
      </c>
      <c r="E275" s="11"/>
      <c r="F275" s="12"/>
      <c r="G275" s="19">
        <f>G276</f>
        <v>550</v>
      </c>
      <c r="H275" s="19">
        <f t="shared" si="25"/>
        <v>0</v>
      </c>
      <c r="I275" s="19">
        <f t="shared" si="25"/>
        <v>548.4</v>
      </c>
      <c r="J275" s="19">
        <f t="shared" si="25"/>
        <v>0</v>
      </c>
      <c r="K275" s="37"/>
    </row>
    <row r="276" spans="1:11" ht="15.75">
      <c r="A276" s="7" t="s">
        <v>78</v>
      </c>
      <c r="B276" s="8" t="s">
        <v>194</v>
      </c>
      <c r="C276" s="8" t="s">
        <v>111</v>
      </c>
      <c r="D276" s="8" t="s">
        <v>110</v>
      </c>
      <c r="E276" s="8" t="s">
        <v>79</v>
      </c>
      <c r="F276" s="9"/>
      <c r="G276" s="20">
        <f>G277</f>
        <v>550</v>
      </c>
      <c r="H276" s="20">
        <f t="shared" si="25"/>
        <v>0</v>
      </c>
      <c r="I276" s="20">
        <f t="shared" si="25"/>
        <v>548.4</v>
      </c>
      <c r="J276" s="20">
        <f t="shared" si="25"/>
        <v>0</v>
      </c>
      <c r="K276" s="38"/>
    </row>
    <row r="277" spans="1:11" ht="43.5">
      <c r="A277" s="6" t="s">
        <v>243</v>
      </c>
      <c r="B277" s="8" t="s">
        <v>194</v>
      </c>
      <c r="C277" s="8" t="s">
        <v>111</v>
      </c>
      <c r="D277" s="8" t="s">
        <v>110</v>
      </c>
      <c r="E277" s="8" t="s">
        <v>142</v>
      </c>
      <c r="F277" s="9"/>
      <c r="G277" s="20">
        <f>G278</f>
        <v>550</v>
      </c>
      <c r="H277" s="20">
        <f t="shared" si="25"/>
        <v>0</v>
      </c>
      <c r="I277" s="20">
        <f t="shared" si="25"/>
        <v>548.4</v>
      </c>
      <c r="J277" s="20">
        <f t="shared" si="25"/>
        <v>0</v>
      </c>
      <c r="K277" s="38"/>
    </row>
    <row r="278" spans="1:11" ht="15.75">
      <c r="A278" s="7" t="s">
        <v>147</v>
      </c>
      <c r="B278" s="8" t="s">
        <v>194</v>
      </c>
      <c r="C278" s="8" t="s">
        <v>111</v>
      </c>
      <c r="D278" s="8" t="s">
        <v>110</v>
      </c>
      <c r="E278" s="8" t="s">
        <v>142</v>
      </c>
      <c r="F278" s="9" t="s">
        <v>148</v>
      </c>
      <c r="G278" s="20">
        <v>550</v>
      </c>
      <c r="H278" s="20"/>
      <c r="I278" s="20">
        <v>548.4</v>
      </c>
      <c r="J278" s="20"/>
      <c r="K278" s="38"/>
    </row>
    <row r="279" spans="1:11" ht="15.75">
      <c r="A279" s="10" t="s">
        <v>2</v>
      </c>
      <c r="B279" s="11" t="s">
        <v>194</v>
      </c>
      <c r="C279" s="11" t="s">
        <v>114</v>
      </c>
      <c r="D279" s="11"/>
      <c r="E279" s="11"/>
      <c r="F279" s="12"/>
      <c r="G279" s="19">
        <f>G311+G368+G280+G356</f>
        <v>1009886.5</v>
      </c>
      <c r="H279" s="19">
        <f>H311+H368+H280+H356</f>
        <v>424073.5</v>
      </c>
      <c r="I279" s="19">
        <f>I311+I368+I280+I356</f>
        <v>976331.0000000001</v>
      </c>
      <c r="J279" s="19">
        <f>J311+J368+J280+J356</f>
        <v>422323.3</v>
      </c>
      <c r="K279" s="37">
        <f>I279/G279*100</f>
        <v>96.67729987478792</v>
      </c>
    </row>
    <row r="280" spans="1:11" ht="15.75">
      <c r="A280" s="10" t="s">
        <v>3</v>
      </c>
      <c r="B280" s="11" t="s">
        <v>194</v>
      </c>
      <c r="C280" s="11" t="s">
        <v>114</v>
      </c>
      <c r="D280" s="11" t="s">
        <v>106</v>
      </c>
      <c r="E280" s="11"/>
      <c r="F280" s="12"/>
      <c r="G280" s="19">
        <f>G281+G291+G295+G308</f>
        <v>383443.3</v>
      </c>
      <c r="H280" s="19">
        <f>H281+H291+H295+H308</f>
        <v>37395</v>
      </c>
      <c r="I280" s="19">
        <f>I281+I291+I295+I308</f>
        <v>363745.6000000001</v>
      </c>
      <c r="J280" s="19">
        <f>J281+J291+J295+J308</f>
        <v>37097.3</v>
      </c>
      <c r="K280" s="37">
        <f>I280/G280*100</f>
        <v>94.8629432304594</v>
      </c>
    </row>
    <row r="281" spans="1:11" ht="15.75">
      <c r="A281" s="7" t="s">
        <v>4</v>
      </c>
      <c r="B281" s="8" t="s">
        <v>194</v>
      </c>
      <c r="C281" s="8" t="s">
        <v>114</v>
      </c>
      <c r="D281" s="8" t="s">
        <v>106</v>
      </c>
      <c r="E281" s="8" t="s">
        <v>13</v>
      </c>
      <c r="F281" s="9"/>
      <c r="G281" s="20">
        <f>G282+G285+G287</f>
        <v>347604.5</v>
      </c>
      <c r="H281" s="20">
        <f>H282+H285+H287</f>
        <v>1706</v>
      </c>
      <c r="I281" s="20">
        <f>I282+I285+I287</f>
        <v>328235.20000000007</v>
      </c>
      <c r="J281" s="20">
        <f>J282+J285+J287</f>
        <v>1705.9</v>
      </c>
      <c r="K281" s="38"/>
    </row>
    <row r="282" spans="1:11" ht="43.5">
      <c r="A282" s="6" t="s">
        <v>495</v>
      </c>
      <c r="B282" s="8" t="s">
        <v>194</v>
      </c>
      <c r="C282" s="8" t="s">
        <v>114</v>
      </c>
      <c r="D282" s="8" t="s">
        <v>106</v>
      </c>
      <c r="E282" s="8" t="s">
        <v>494</v>
      </c>
      <c r="F282" s="9"/>
      <c r="G282" s="20">
        <f aca="true" t="shared" si="26" ref="G282:J283">G283</f>
        <v>1706</v>
      </c>
      <c r="H282" s="20">
        <f t="shared" si="26"/>
        <v>1706</v>
      </c>
      <c r="I282" s="20">
        <f t="shared" si="26"/>
        <v>1705.9</v>
      </c>
      <c r="J282" s="20">
        <f t="shared" si="26"/>
        <v>1705.9</v>
      </c>
      <c r="K282" s="38"/>
    </row>
    <row r="283" spans="1:11" ht="43.5">
      <c r="A283" s="6" t="s">
        <v>496</v>
      </c>
      <c r="B283" s="8" t="s">
        <v>194</v>
      </c>
      <c r="C283" s="8" t="s">
        <v>114</v>
      </c>
      <c r="D283" s="8" t="s">
        <v>106</v>
      </c>
      <c r="E283" s="8" t="s">
        <v>493</v>
      </c>
      <c r="F283" s="9"/>
      <c r="G283" s="20">
        <f t="shared" si="26"/>
        <v>1706</v>
      </c>
      <c r="H283" s="20">
        <f t="shared" si="26"/>
        <v>1706</v>
      </c>
      <c r="I283" s="20">
        <f t="shared" si="26"/>
        <v>1705.9</v>
      </c>
      <c r="J283" s="20">
        <f t="shared" si="26"/>
        <v>1705.9</v>
      </c>
      <c r="K283" s="38"/>
    </row>
    <row r="284" spans="1:11" ht="43.5">
      <c r="A284" s="6" t="s">
        <v>497</v>
      </c>
      <c r="B284" s="8" t="s">
        <v>194</v>
      </c>
      <c r="C284" s="8" t="s">
        <v>114</v>
      </c>
      <c r="D284" s="8" t="s">
        <v>106</v>
      </c>
      <c r="E284" s="8" t="s">
        <v>493</v>
      </c>
      <c r="F284" s="9" t="s">
        <v>406</v>
      </c>
      <c r="G284" s="20">
        <v>1706</v>
      </c>
      <c r="H284" s="20">
        <v>1706</v>
      </c>
      <c r="I284" s="20">
        <v>1705.9</v>
      </c>
      <c r="J284" s="20">
        <v>1705.9</v>
      </c>
      <c r="K284" s="38"/>
    </row>
    <row r="285" spans="1:11" ht="15.75">
      <c r="A285" s="13" t="s">
        <v>228</v>
      </c>
      <c r="B285" s="8" t="s">
        <v>194</v>
      </c>
      <c r="C285" s="8" t="s">
        <v>114</v>
      </c>
      <c r="D285" s="8" t="s">
        <v>106</v>
      </c>
      <c r="E285" s="8" t="s">
        <v>230</v>
      </c>
      <c r="F285" s="9"/>
      <c r="G285" s="20">
        <f>G286</f>
        <v>8765.5</v>
      </c>
      <c r="H285" s="20">
        <f>H286</f>
        <v>0</v>
      </c>
      <c r="I285" s="20">
        <f>I286</f>
        <v>7281.5</v>
      </c>
      <c r="J285" s="20">
        <f>J286</f>
        <v>0</v>
      </c>
      <c r="K285" s="38"/>
    </row>
    <row r="286" spans="1:11" ht="15.75">
      <c r="A286" s="7" t="s">
        <v>147</v>
      </c>
      <c r="B286" s="8" t="s">
        <v>194</v>
      </c>
      <c r="C286" s="8" t="s">
        <v>114</v>
      </c>
      <c r="D286" s="8" t="s">
        <v>106</v>
      </c>
      <c r="E286" s="8" t="s">
        <v>230</v>
      </c>
      <c r="F286" s="9" t="s">
        <v>148</v>
      </c>
      <c r="G286" s="20">
        <v>8765.5</v>
      </c>
      <c r="H286" s="20"/>
      <c r="I286" s="20">
        <v>7281.5</v>
      </c>
      <c r="J286" s="20"/>
      <c r="K286" s="38"/>
    </row>
    <row r="287" spans="1:43" s="1" customFormat="1" ht="15.75">
      <c r="A287" s="7" t="s">
        <v>14</v>
      </c>
      <c r="B287" s="8" t="s">
        <v>194</v>
      </c>
      <c r="C287" s="8" t="s">
        <v>114</v>
      </c>
      <c r="D287" s="8" t="s">
        <v>106</v>
      </c>
      <c r="E287" s="8" t="s">
        <v>124</v>
      </c>
      <c r="F287" s="9"/>
      <c r="G287" s="20">
        <f>G290+G288+G289</f>
        <v>337133</v>
      </c>
      <c r="H287" s="20">
        <f>H290+H288+H289</f>
        <v>0</v>
      </c>
      <c r="I287" s="20">
        <f>I290+I288+I289</f>
        <v>319247.80000000005</v>
      </c>
      <c r="J287" s="20">
        <f>J290+J288+J289</f>
        <v>0</v>
      </c>
      <c r="K287" s="38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1:43" s="1" customFormat="1" ht="15.75">
      <c r="A288" s="7" t="s">
        <v>95</v>
      </c>
      <c r="B288" s="8" t="s">
        <v>194</v>
      </c>
      <c r="C288" s="8" t="s">
        <v>114</v>
      </c>
      <c r="D288" s="8" t="s">
        <v>106</v>
      </c>
      <c r="E288" s="8" t="s">
        <v>124</v>
      </c>
      <c r="F288" s="9" t="s">
        <v>52</v>
      </c>
      <c r="G288" s="20">
        <v>14.1</v>
      </c>
      <c r="H288" s="20"/>
      <c r="I288" s="20">
        <v>8.2</v>
      </c>
      <c r="J288" s="20"/>
      <c r="K288" s="3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1:43" s="1" customFormat="1" ht="15.75">
      <c r="A289" s="7" t="s">
        <v>88</v>
      </c>
      <c r="B289" s="8" t="s">
        <v>194</v>
      </c>
      <c r="C289" s="8" t="s">
        <v>114</v>
      </c>
      <c r="D289" s="8" t="s">
        <v>106</v>
      </c>
      <c r="E289" s="8" t="s">
        <v>124</v>
      </c>
      <c r="F289" s="9" t="s">
        <v>76</v>
      </c>
      <c r="G289" s="20">
        <v>42.9</v>
      </c>
      <c r="H289" s="20"/>
      <c r="I289" s="20">
        <v>42.9</v>
      </c>
      <c r="J289" s="20"/>
      <c r="K289" s="38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1:11" ht="15.75">
      <c r="A290" s="7" t="s">
        <v>147</v>
      </c>
      <c r="B290" s="8" t="s">
        <v>194</v>
      </c>
      <c r="C290" s="8" t="s">
        <v>114</v>
      </c>
      <c r="D290" s="8" t="s">
        <v>106</v>
      </c>
      <c r="E290" s="8" t="s">
        <v>124</v>
      </c>
      <c r="F290" s="9" t="s">
        <v>148</v>
      </c>
      <c r="G290" s="20">
        <v>337076</v>
      </c>
      <c r="H290" s="20"/>
      <c r="I290" s="20">
        <v>319196.7</v>
      </c>
      <c r="J290" s="20"/>
      <c r="K290" s="38"/>
    </row>
    <row r="291" spans="1:11" ht="15.75">
      <c r="A291" s="7" t="s">
        <v>74</v>
      </c>
      <c r="B291" s="8" t="s">
        <v>194</v>
      </c>
      <c r="C291" s="8" t="s">
        <v>114</v>
      </c>
      <c r="D291" s="8" t="s">
        <v>106</v>
      </c>
      <c r="E291" s="8" t="s">
        <v>58</v>
      </c>
      <c r="F291" s="9"/>
      <c r="G291" s="20">
        <f aca="true" t="shared" si="27" ref="G291:J293">G292</f>
        <v>90</v>
      </c>
      <c r="H291" s="20">
        <f t="shared" si="27"/>
        <v>90</v>
      </c>
      <c r="I291" s="20">
        <f t="shared" si="27"/>
        <v>90</v>
      </c>
      <c r="J291" s="20">
        <f t="shared" si="27"/>
        <v>90</v>
      </c>
      <c r="K291" s="38"/>
    </row>
    <row r="292" spans="1:11" ht="72">
      <c r="A292" s="6" t="s">
        <v>503</v>
      </c>
      <c r="B292" s="8" t="s">
        <v>194</v>
      </c>
      <c r="C292" s="8" t="s">
        <v>114</v>
      </c>
      <c r="D292" s="8" t="s">
        <v>106</v>
      </c>
      <c r="E292" s="8" t="s">
        <v>485</v>
      </c>
      <c r="F292" s="9"/>
      <c r="G292" s="20">
        <f t="shared" si="27"/>
        <v>90</v>
      </c>
      <c r="H292" s="20">
        <f t="shared" si="27"/>
        <v>90</v>
      </c>
      <c r="I292" s="20">
        <f t="shared" si="27"/>
        <v>90</v>
      </c>
      <c r="J292" s="20">
        <f t="shared" si="27"/>
        <v>90</v>
      </c>
      <c r="K292" s="38"/>
    </row>
    <row r="293" spans="1:11" ht="29.25">
      <c r="A293" s="6" t="s">
        <v>487</v>
      </c>
      <c r="B293" s="8" t="s">
        <v>194</v>
      </c>
      <c r="C293" s="8" t="s">
        <v>114</v>
      </c>
      <c r="D293" s="8" t="s">
        <v>106</v>
      </c>
      <c r="E293" s="8" t="s">
        <v>486</v>
      </c>
      <c r="F293" s="9"/>
      <c r="G293" s="20">
        <f t="shared" si="27"/>
        <v>90</v>
      </c>
      <c r="H293" s="20">
        <f t="shared" si="27"/>
        <v>90</v>
      </c>
      <c r="I293" s="20">
        <f t="shared" si="27"/>
        <v>90</v>
      </c>
      <c r="J293" s="20">
        <f t="shared" si="27"/>
        <v>90</v>
      </c>
      <c r="K293" s="38"/>
    </row>
    <row r="294" spans="1:11" ht="15.75">
      <c r="A294" s="7" t="s">
        <v>306</v>
      </c>
      <c r="B294" s="8" t="s">
        <v>194</v>
      </c>
      <c r="C294" s="8" t="s">
        <v>114</v>
      </c>
      <c r="D294" s="8" t="s">
        <v>106</v>
      </c>
      <c r="E294" s="8" t="s">
        <v>486</v>
      </c>
      <c r="F294" s="9" t="s">
        <v>303</v>
      </c>
      <c r="G294" s="20">
        <v>90</v>
      </c>
      <c r="H294" s="20">
        <v>90</v>
      </c>
      <c r="I294" s="20">
        <v>90</v>
      </c>
      <c r="J294" s="20">
        <v>90</v>
      </c>
      <c r="K294" s="38"/>
    </row>
    <row r="295" spans="1:11" ht="15.75">
      <c r="A295" s="7" t="s">
        <v>219</v>
      </c>
      <c r="B295" s="8" t="s">
        <v>194</v>
      </c>
      <c r="C295" s="8" t="s">
        <v>114</v>
      </c>
      <c r="D295" s="8" t="s">
        <v>106</v>
      </c>
      <c r="E295" s="8" t="s">
        <v>218</v>
      </c>
      <c r="F295" s="9"/>
      <c r="G295" s="20">
        <f>G296+G302</f>
        <v>35698.8</v>
      </c>
      <c r="H295" s="20">
        <f>H296+H302</f>
        <v>35599</v>
      </c>
      <c r="I295" s="20">
        <f>I296+I302</f>
        <v>35401.200000000004</v>
      </c>
      <c r="J295" s="20">
        <f>J296+J302</f>
        <v>35301.4</v>
      </c>
      <c r="K295" s="38"/>
    </row>
    <row r="296" spans="1:11" ht="37.5" customHeight="1">
      <c r="A296" s="6" t="s">
        <v>369</v>
      </c>
      <c r="B296" s="8" t="s">
        <v>194</v>
      </c>
      <c r="C296" s="8" t="s">
        <v>114</v>
      </c>
      <c r="D296" s="8" t="s">
        <v>106</v>
      </c>
      <c r="E296" s="8" t="s">
        <v>366</v>
      </c>
      <c r="F296" s="9"/>
      <c r="G296" s="20">
        <f>G300+G297</f>
        <v>4397.8</v>
      </c>
      <c r="H296" s="20">
        <f>H300+H297</f>
        <v>4298</v>
      </c>
      <c r="I296" s="20">
        <f>I300+I297</f>
        <v>4397.8</v>
      </c>
      <c r="J296" s="20">
        <f>J300+J297</f>
        <v>4298</v>
      </c>
      <c r="K296" s="38"/>
    </row>
    <row r="297" spans="1:11" ht="37.5" customHeight="1">
      <c r="A297" s="6" t="s">
        <v>464</v>
      </c>
      <c r="B297" s="8" t="s">
        <v>194</v>
      </c>
      <c r="C297" s="8" t="s">
        <v>114</v>
      </c>
      <c r="D297" s="8" t="s">
        <v>106</v>
      </c>
      <c r="E297" s="8" t="s">
        <v>463</v>
      </c>
      <c r="F297" s="9"/>
      <c r="G297" s="20">
        <f>G298+G299</f>
        <v>4298</v>
      </c>
      <c r="H297" s="20">
        <f>H298+H299</f>
        <v>4298</v>
      </c>
      <c r="I297" s="20">
        <f>I298+I299</f>
        <v>4298</v>
      </c>
      <c r="J297" s="20">
        <f>J298+J299</f>
        <v>4298</v>
      </c>
      <c r="K297" s="38"/>
    </row>
    <row r="298" spans="1:11" ht="17.25" customHeight="1">
      <c r="A298" s="7" t="s">
        <v>306</v>
      </c>
      <c r="B298" s="8" t="s">
        <v>194</v>
      </c>
      <c r="C298" s="8" t="s">
        <v>114</v>
      </c>
      <c r="D298" s="8" t="s">
        <v>106</v>
      </c>
      <c r="E298" s="8" t="s">
        <v>463</v>
      </c>
      <c r="F298" s="9" t="s">
        <v>303</v>
      </c>
      <c r="G298" s="20">
        <v>1848.1</v>
      </c>
      <c r="H298" s="20">
        <v>1848.1</v>
      </c>
      <c r="I298" s="20">
        <v>1848.1</v>
      </c>
      <c r="J298" s="20">
        <v>1848.1</v>
      </c>
      <c r="K298" s="38"/>
    </row>
    <row r="299" spans="1:11" ht="15.75" customHeight="1">
      <c r="A299" s="7" t="s">
        <v>307</v>
      </c>
      <c r="B299" s="8" t="s">
        <v>194</v>
      </c>
      <c r="C299" s="8" t="s">
        <v>114</v>
      </c>
      <c r="D299" s="8" t="s">
        <v>106</v>
      </c>
      <c r="E299" s="8" t="s">
        <v>463</v>
      </c>
      <c r="F299" s="9" t="s">
        <v>304</v>
      </c>
      <c r="G299" s="20">
        <v>2449.9</v>
      </c>
      <c r="H299" s="20">
        <v>2449.9</v>
      </c>
      <c r="I299" s="20">
        <v>2449.9</v>
      </c>
      <c r="J299" s="20">
        <v>2449.9</v>
      </c>
      <c r="K299" s="38"/>
    </row>
    <row r="300" spans="1:11" ht="72">
      <c r="A300" s="6" t="s">
        <v>370</v>
      </c>
      <c r="B300" s="8" t="s">
        <v>194</v>
      </c>
      <c r="C300" s="8" t="s">
        <v>114</v>
      </c>
      <c r="D300" s="8" t="s">
        <v>106</v>
      </c>
      <c r="E300" s="8" t="s">
        <v>367</v>
      </c>
      <c r="F300" s="9"/>
      <c r="G300" s="20">
        <f>G301</f>
        <v>99.8</v>
      </c>
      <c r="H300" s="20">
        <f>H301</f>
        <v>0</v>
      </c>
      <c r="I300" s="20">
        <f>I301</f>
        <v>99.8</v>
      </c>
      <c r="J300" s="20">
        <f>J301</f>
        <v>0</v>
      </c>
      <c r="K300" s="38"/>
    </row>
    <row r="301" spans="1:11" ht="15.75">
      <c r="A301" s="7" t="s">
        <v>306</v>
      </c>
      <c r="B301" s="8" t="s">
        <v>194</v>
      </c>
      <c r="C301" s="8" t="s">
        <v>114</v>
      </c>
      <c r="D301" s="8" t="s">
        <v>106</v>
      </c>
      <c r="E301" s="8" t="s">
        <v>367</v>
      </c>
      <c r="F301" s="9" t="s">
        <v>303</v>
      </c>
      <c r="G301" s="20">
        <v>99.8</v>
      </c>
      <c r="H301" s="20"/>
      <c r="I301" s="20">
        <v>99.8</v>
      </c>
      <c r="J301" s="20"/>
      <c r="K301" s="38"/>
    </row>
    <row r="302" spans="1:11" ht="43.5">
      <c r="A302" s="6" t="s">
        <v>459</v>
      </c>
      <c r="B302" s="8" t="s">
        <v>194</v>
      </c>
      <c r="C302" s="8" t="s">
        <v>114</v>
      </c>
      <c r="D302" s="8" t="s">
        <v>106</v>
      </c>
      <c r="E302" s="8" t="s">
        <v>457</v>
      </c>
      <c r="F302" s="9"/>
      <c r="G302" s="20">
        <f>G303+G306</f>
        <v>31301</v>
      </c>
      <c r="H302" s="20">
        <f>H303+H306</f>
        <v>31301</v>
      </c>
      <c r="I302" s="20">
        <f>I303+I306</f>
        <v>31003.4</v>
      </c>
      <c r="J302" s="20">
        <f>J303+J306</f>
        <v>31003.4</v>
      </c>
      <c r="K302" s="38"/>
    </row>
    <row r="303" spans="1:11" ht="29.25">
      <c r="A303" s="6" t="s">
        <v>458</v>
      </c>
      <c r="B303" s="8" t="s">
        <v>194</v>
      </c>
      <c r="C303" s="8" t="s">
        <v>114</v>
      </c>
      <c r="D303" s="8" t="s">
        <v>106</v>
      </c>
      <c r="E303" s="8" t="s">
        <v>462</v>
      </c>
      <c r="F303" s="9"/>
      <c r="G303" s="20">
        <f>G304+G305</f>
        <v>30795</v>
      </c>
      <c r="H303" s="20">
        <f>H304+H305</f>
        <v>30795</v>
      </c>
      <c r="I303" s="20">
        <f>I304+I305</f>
        <v>30795</v>
      </c>
      <c r="J303" s="20">
        <f>J304+J305</f>
        <v>30795</v>
      </c>
      <c r="K303" s="38"/>
    </row>
    <row r="304" spans="1:11" ht="15.75">
      <c r="A304" s="7" t="s">
        <v>306</v>
      </c>
      <c r="B304" s="8" t="s">
        <v>194</v>
      </c>
      <c r="C304" s="8" t="s">
        <v>114</v>
      </c>
      <c r="D304" s="8" t="s">
        <v>106</v>
      </c>
      <c r="E304" s="8" t="s">
        <v>462</v>
      </c>
      <c r="F304" s="9" t="s">
        <v>303</v>
      </c>
      <c r="G304" s="20">
        <v>16809.4</v>
      </c>
      <c r="H304" s="20">
        <v>16809.4</v>
      </c>
      <c r="I304" s="20">
        <v>16809.4</v>
      </c>
      <c r="J304" s="20">
        <v>16809.4</v>
      </c>
      <c r="K304" s="38"/>
    </row>
    <row r="305" spans="1:11" ht="15.75">
      <c r="A305" s="7" t="s">
        <v>307</v>
      </c>
      <c r="B305" s="8" t="s">
        <v>194</v>
      </c>
      <c r="C305" s="8" t="s">
        <v>114</v>
      </c>
      <c r="D305" s="8" t="s">
        <v>106</v>
      </c>
      <c r="E305" s="8" t="s">
        <v>462</v>
      </c>
      <c r="F305" s="9" t="s">
        <v>304</v>
      </c>
      <c r="G305" s="20">
        <v>13985.6</v>
      </c>
      <c r="H305" s="20">
        <v>13985.6</v>
      </c>
      <c r="I305" s="20">
        <v>13985.6</v>
      </c>
      <c r="J305" s="20">
        <v>13985.6</v>
      </c>
      <c r="K305" s="38"/>
    </row>
    <row r="306" spans="1:11" ht="37.5" customHeight="1">
      <c r="A306" s="6" t="s">
        <v>468</v>
      </c>
      <c r="B306" s="8" t="s">
        <v>194</v>
      </c>
      <c r="C306" s="8" t="s">
        <v>114</v>
      </c>
      <c r="D306" s="8" t="s">
        <v>106</v>
      </c>
      <c r="E306" s="8" t="s">
        <v>467</v>
      </c>
      <c r="F306" s="9"/>
      <c r="G306" s="20">
        <f>G307</f>
        <v>506</v>
      </c>
      <c r="H306" s="20">
        <f>H307</f>
        <v>506</v>
      </c>
      <c r="I306" s="20">
        <f>I307</f>
        <v>208.4</v>
      </c>
      <c r="J306" s="20">
        <f>J307</f>
        <v>208.4</v>
      </c>
      <c r="K306" s="38"/>
    </row>
    <row r="307" spans="1:11" ht="15.75">
      <c r="A307" s="44" t="s">
        <v>310</v>
      </c>
      <c r="B307" s="8" t="s">
        <v>194</v>
      </c>
      <c r="C307" s="8" t="s">
        <v>114</v>
      </c>
      <c r="D307" s="8" t="s">
        <v>106</v>
      </c>
      <c r="E307" s="8" t="s">
        <v>467</v>
      </c>
      <c r="F307" s="9" t="s">
        <v>309</v>
      </c>
      <c r="G307" s="20">
        <v>506</v>
      </c>
      <c r="H307" s="20">
        <v>506</v>
      </c>
      <c r="I307" s="20">
        <v>208.4</v>
      </c>
      <c r="J307" s="20">
        <v>208.4</v>
      </c>
      <c r="K307" s="38"/>
    </row>
    <row r="308" spans="1:11" ht="15.75">
      <c r="A308" s="7" t="s">
        <v>78</v>
      </c>
      <c r="B308" s="8" t="s">
        <v>194</v>
      </c>
      <c r="C308" s="8" t="s">
        <v>114</v>
      </c>
      <c r="D308" s="8" t="s">
        <v>106</v>
      </c>
      <c r="E308" s="8" t="s">
        <v>79</v>
      </c>
      <c r="F308" s="9"/>
      <c r="G308" s="20">
        <f aca="true" t="shared" si="28" ref="G308:J309">G309</f>
        <v>50</v>
      </c>
      <c r="H308" s="20">
        <f t="shared" si="28"/>
        <v>0</v>
      </c>
      <c r="I308" s="20">
        <f t="shared" si="28"/>
        <v>19.2</v>
      </c>
      <c r="J308" s="20">
        <f t="shared" si="28"/>
        <v>0</v>
      </c>
      <c r="K308" s="38"/>
    </row>
    <row r="309" spans="1:11" ht="29.25">
      <c r="A309" s="6" t="s">
        <v>260</v>
      </c>
      <c r="B309" s="8" t="s">
        <v>194</v>
      </c>
      <c r="C309" s="8" t="s">
        <v>114</v>
      </c>
      <c r="D309" s="8" t="s">
        <v>106</v>
      </c>
      <c r="E309" s="8" t="s">
        <v>498</v>
      </c>
      <c r="F309" s="9"/>
      <c r="G309" s="20">
        <f t="shared" si="28"/>
        <v>50</v>
      </c>
      <c r="H309" s="20">
        <f t="shared" si="28"/>
        <v>0</v>
      </c>
      <c r="I309" s="20">
        <f t="shared" si="28"/>
        <v>19.2</v>
      </c>
      <c r="J309" s="20">
        <f t="shared" si="28"/>
        <v>0</v>
      </c>
      <c r="K309" s="38"/>
    </row>
    <row r="310" spans="1:11" ht="15.75">
      <c r="A310" s="7" t="s">
        <v>147</v>
      </c>
      <c r="B310" s="8" t="s">
        <v>194</v>
      </c>
      <c r="C310" s="8" t="s">
        <v>114</v>
      </c>
      <c r="D310" s="8" t="s">
        <v>106</v>
      </c>
      <c r="E310" s="8" t="s">
        <v>498</v>
      </c>
      <c r="F310" s="9" t="s">
        <v>148</v>
      </c>
      <c r="G310" s="20">
        <v>50</v>
      </c>
      <c r="H310" s="20"/>
      <c r="I310" s="20">
        <v>19.2</v>
      </c>
      <c r="J310" s="20"/>
      <c r="K310" s="38"/>
    </row>
    <row r="311" spans="1:11" ht="15.75">
      <c r="A311" s="10" t="s">
        <v>5</v>
      </c>
      <c r="B311" s="11" t="s">
        <v>194</v>
      </c>
      <c r="C311" s="11" t="s">
        <v>114</v>
      </c>
      <c r="D311" s="11" t="s">
        <v>107</v>
      </c>
      <c r="E311" s="11"/>
      <c r="F311" s="12"/>
      <c r="G311" s="19">
        <f>G312+G329+G335+G341</f>
        <v>512954.4</v>
      </c>
      <c r="H311" s="19">
        <f>H312+H329+H335+H341</f>
        <v>371489</v>
      </c>
      <c r="I311" s="19">
        <f>I312+I329+I335+I341</f>
        <v>501320.4000000001</v>
      </c>
      <c r="J311" s="19">
        <f>J312+J329+J335+J341</f>
        <v>370036.5</v>
      </c>
      <c r="K311" s="37">
        <f>I311/G311*100</f>
        <v>97.73196213932468</v>
      </c>
    </row>
    <row r="312" spans="1:11" ht="29.25">
      <c r="A312" s="6" t="s">
        <v>182</v>
      </c>
      <c r="B312" s="8" t="s">
        <v>194</v>
      </c>
      <c r="C312" s="8" t="s">
        <v>114</v>
      </c>
      <c r="D312" s="8" t="s">
        <v>107</v>
      </c>
      <c r="E312" s="8" t="s">
        <v>15</v>
      </c>
      <c r="F312" s="9"/>
      <c r="G312" s="20">
        <f>G313+G323+G325+G320+G316</f>
        <v>403058.30000000005</v>
      </c>
      <c r="H312" s="20">
        <f>H313+H323+H325+H320+H316</f>
        <v>335774</v>
      </c>
      <c r="I312" s="20">
        <f>I313+I323+I325+I320+I316</f>
        <v>394583.70000000007</v>
      </c>
      <c r="J312" s="20">
        <f>J313+J323+J325+J320+J316</f>
        <v>334997</v>
      </c>
      <c r="K312" s="38"/>
    </row>
    <row r="313" spans="1:11" ht="143.25">
      <c r="A313" s="6" t="s">
        <v>315</v>
      </c>
      <c r="B313" s="8" t="s">
        <v>194</v>
      </c>
      <c r="C313" s="8" t="s">
        <v>114</v>
      </c>
      <c r="D313" s="8" t="s">
        <v>107</v>
      </c>
      <c r="E313" s="8" t="s">
        <v>308</v>
      </c>
      <c r="F313" s="9"/>
      <c r="G313" s="20">
        <f>G314+G315</f>
        <v>310922.9</v>
      </c>
      <c r="H313" s="20">
        <f>H314+H315</f>
        <v>310904.1</v>
      </c>
      <c r="I313" s="20">
        <f>I314+I315</f>
        <v>310145.9</v>
      </c>
      <c r="J313" s="20">
        <f>J314+J315</f>
        <v>310127.1</v>
      </c>
      <c r="K313" s="38"/>
    </row>
    <row r="314" spans="1:11" ht="15.75">
      <c r="A314" s="7" t="s">
        <v>306</v>
      </c>
      <c r="B314" s="8" t="s">
        <v>194</v>
      </c>
      <c r="C314" s="8" t="s">
        <v>114</v>
      </c>
      <c r="D314" s="8" t="s">
        <v>107</v>
      </c>
      <c r="E314" s="8" t="s">
        <v>308</v>
      </c>
      <c r="F314" s="9" t="s">
        <v>303</v>
      </c>
      <c r="G314" s="20">
        <f>64237-9889+18.8+2245.5+16</f>
        <v>56628.3</v>
      </c>
      <c r="H314" s="20">
        <f>64237-9889+2245.5+16</f>
        <v>56609.5</v>
      </c>
      <c r="I314" s="20">
        <v>56628.3</v>
      </c>
      <c r="J314" s="20">
        <v>56609.5</v>
      </c>
      <c r="K314" s="38"/>
    </row>
    <row r="315" spans="1:11" ht="15.75">
      <c r="A315" s="7" t="s">
        <v>307</v>
      </c>
      <c r="B315" s="8" t="s">
        <v>194</v>
      </c>
      <c r="C315" s="8" t="s">
        <v>114</v>
      </c>
      <c r="D315" s="8" t="s">
        <v>107</v>
      </c>
      <c r="E315" s="8" t="s">
        <v>308</v>
      </c>
      <c r="F315" s="9" t="s">
        <v>304</v>
      </c>
      <c r="G315" s="20">
        <v>254294.6</v>
      </c>
      <c r="H315" s="20">
        <v>254294.6</v>
      </c>
      <c r="I315" s="20">
        <v>253517.6</v>
      </c>
      <c r="J315" s="20">
        <v>253517.6</v>
      </c>
      <c r="K315" s="38"/>
    </row>
    <row r="316" spans="1:11" ht="143.25">
      <c r="A316" s="6" t="s">
        <v>361</v>
      </c>
      <c r="B316" s="8" t="s">
        <v>194</v>
      </c>
      <c r="C316" s="8" t="s">
        <v>114</v>
      </c>
      <c r="D316" s="8" t="s">
        <v>107</v>
      </c>
      <c r="E316" s="8" t="s">
        <v>360</v>
      </c>
      <c r="F316" s="9"/>
      <c r="G316" s="20">
        <f>G317+G318+G319</f>
        <v>8887.9</v>
      </c>
      <c r="H316" s="20">
        <f>H317+H318+H319</f>
        <v>8887.9</v>
      </c>
      <c r="I316" s="20">
        <f>I317+I318+I319</f>
        <v>8887.9</v>
      </c>
      <c r="J316" s="20">
        <f>J317+J318+J319</f>
        <v>8887.9</v>
      </c>
      <c r="K316" s="38"/>
    </row>
    <row r="317" spans="1:11" ht="15.75">
      <c r="A317" s="7" t="s">
        <v>310</v>
      </c>
      <c r="B317" s="8" t="s">
        <v>194</v>
      </c>
      <c r="C317" s="8" t="s">
        <v>114</v>
      </c>
      <c r="D317" s="8" t="s">
        <v>107</v>
      </c>
      <c r="E317" s="8" t="s">
        <v>360</v>
      </c>
      <c r="F317" s="9" t="s">
        <v>309</v>
      </c>
      <c r="G317" s="20">
        <v>7103.9</v>
      </c>
      <c r="H317" s="20">
        <v>7103.9</v>
      </c>
      <c r="I317" s="20">
        <v>7103.9</v>
      </c>
      <c r="J317" s="20">
        <v>7103.9</v>
      </c>
      <c r="K317" s="38"/>
    </row>
    <row r="318" spans="1:11" ht="15.75">
      <c r="A318" s="7" t="s">
        <v>306</v>
      </c>
      <c r="B318" s="8" t="s">
        <v>194</v>
      </c>
      <c r="C318" s="8" t="s">
        <v>114</v>
      </c>
      <c r="D318" s="8" t="s">
        <v>107</v>
      </c>
      <c r="E318" s="8" t="s">
        <v>360</v>
      </c>
      <c r="F318" s="9" t="s">
        <v>303</v>
      </c>
      <c r="G318" s="20">
        <f>127.3+110</f>
        <v>237.3</v>
      </c>
      <c r="H318" s="20">
        <f>127.3+110</f>
        <v>237.3</v>
      </c>
      <c r="I318" s="20">
        <v>237.3</v>
      </c>
      <c r="J318" s="20">
        <v>237.3</v>
      </c>
      <c r="K318" s="38"/>
    </row>
    <row r="319" spans="1:11" ht="15.75">
      <c r="A319" s="7" t="s">
        <v>307</v>
      </c>
      <c r="B319" s="8" t="s">
        <v>194</v>
      </c>
      <c r="C319" s="8" t="s">
        <v>114</v>
      </c>
      <c r="D319" s="8" t="s">
        <v>107</v>
      </c>
      <c r="E319" s="8" t="s">
        <v>360</v>
      </c>
      <c r="F319" s="9" t="s">
        <v>304</v>
      </c>
      <c r="G319" s="20">
        <f>1018.7+528</f>
        <v>1546.7</v>
      </c>
      <c r="H319" s="20">
        <f>1018.7+528</f>
        <v>1546.7</v>
      </c>
      <c r="I319" s="20">
        <v>1546.7</v>
      </c>
      <c r="J319" s="20">
        <v>1546.7</v>
      </c>
      <c r="K319" s="38"/>
    </row>
    <row r="320" spans="1:11" ht="57.75">
      <c r="A320" s="6" t="s">
        <v>314</v>
      </c>
      <c r="B320" s="8" t="s">
        <v>194</v>
      </c>
      <c r="C320" s="8" t="s">
        <v>114</v>
      </c>
      <c r="D320" s="8" t="s">
        <v>107</v>
      </c>
      <c r="E320" s="8" t="s">
        <v>311</v>
      </c>
      <c r="F320" s="9"/>
      <c r="G320" s="20">
        <f>G321+G322</f>
        <v>15982.199999999999</v>
      </c>
      <c r="H320" s="20">
        <f>H321+H322</f>
        <v>15982</v>
      </c>
      <c r="I320" s="20">
        <f>I321+I322</f>
        <v>15982.199999999999</v>
      </c>
      <c r="J320" s="20">
        <f>J321+J322</f>
        <v>15982</v>
      </c>
      <c r="K320" s="38"/>
    </row>
    <row r="321" spans="1:11" ht="15.75">
      <c r="A321" s="7" t="s">
        <v>306</v>
      </c>
      <c r="B321" s="8" t="s">
        <v>194</v>
      </c>
      <c r="C321" s="8" t="s">
        <v>114</v>
      </c>
      <c r="D321" s="8" t="s">
        <v>107</v>
      </c>
      <c r="E321" s="8" t="s">
        <v>311</v>
      </c>
      <c r="F321" s="9" t="s">
        <v>303</v>
      </c>
      <c r="G321" s="20">
        <v>2808.4</v>
      </c>
      <c r="H321" s="20">
        <v>2808.2</v>
      </c>
      <c r="I321" s="20">
        <v>2808.4</v>
      </c>
      <c r="J321" s="20">
        <v>2808.2</v>
      </c>
      <c r="K321" s="38"/>
    </row>
    <row r="322" spans="1:11" ht="15.75">
      <c r="A322" s="7" t="s">
        <v>307</v>
      </c>
      <c r="B322" s="8" t="s">
        <v>194</v>
      </c>
      <c r="C322" s="8" t="s">
        <v>114</v>
      </c>
      <c r="D322" s="8" t="s">
        <v>107</v>
      </c>
      <c r="E322" s="8" t="s">
        <v>311</v>
      </c>
      <c r="F322" s="9" t="s">
        <v>304</v>
      </c>
      <c r="G322" s="20">
        <v>13173.8</v>
      </c>
      <c r="H322" s="20">
        <v>13173.8</v>
      </c>
      <c r="I322" s="20">
        <v>13173.8</v>
      </c>
      <c r="J322" s="20">
        <v>13173.8</v>
      </c>
      <c r="K322" s="38"/>
    </row>
    <row r="323" spans="1:11" ht="15.75">
      <c r="A323" s="13" t="s">
        <v>228</v>
      </c>
      <c r="B323" s="8" t="s">
        <v>194</v>
      </c>
      <c r="C323" s="8" t="s">
        <v>114</v>
      </c>
      <c r="D323" s="8" t="s">
        <v>107</v>
      </c>
      <c r="E323" s="8" t="s">
        <v>231</v>
      </c>
      <c r="F323" s="9"/>
      <c r="G323" s="20">
        <f>G324</f>
        <v>3130.2</v>
      </c>
      <c r="H323" s="20">
        <f>H324</f>
        <v>0</v>
      </c>
      <c r="I323" s="20">
        <f>I324</f>
        <v>3121.9</v>
      </c>
      <c r="J323" s="20">
        <f>J324</f>
        <v>0</v>
      </c>
      <c r="K323" s="38"/>
    </row>
    <row r="324" spans="1:11" ht="15.75">
      <c r="A324" s="7" t="s">
        <v>147</v>
      </c>
      <c r="B324" s="8" t="s">
        <v>194</v>
      </c>
      <c r="C324" s="8" t="s">
        <v>114</v>
      </c>
      <c r="D324" s="8" t="s">
        <v>107</v>
      </c>
      <c r="E324" s="8" t="s">
        <v>231</v>
      </c>
      <c r="F324" s="9" t="s">
        <v>148</v>
      </c>
      <c r="G324" s="20">
        <v>3130.2</v>
      </c>
      <c r="H324" s="20">
        <v>0</v>
      </c>
      <c r="I324" s="20">
        <v>3121.9</v>
      </c>
      <c r="J324" s="20"/>
      <c r="K324" s="38"/>
    </row>
    <row r="325" spans="1:43" s="1" customFormat="1" ht="15.75">
      <c r="A325" s="7" t="s">
        <v>14</v>
      </c>
      <c r="B325" s="8" t="s">
        <v>194</v>
      </c>
      <c r="C325" s="8" t="s">
        <v>114</v>
      </c>
      <c r="D325" s="8" t="s">
        <v>107</v>
      </c>
      <c r="E325" s="8" t="s">
        <v>125</v>
      </c>
      <c r="F325" s="9"/>
      <c r="G325" s="20">
        <f>G328+G326+G327</f>
        <v>64135.1</v>
      </c>
      <c r="H325" s="20">
        <f>H328+H326+H327</f>
        <v>0</v>
      </c>
      <c r="I325" s="20">
        <f>I328+I326+I327</f>
        <v>56445.799999999996</v>
      </c>
      <c r="J325" s="20">
        <f>J328+J326+J327</f>
        <v>0</v>
      </c>
      <c r="K325" s="38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1:43" s="1" customFormat="1" ht="15.75">
      <c r="A326" s="7" t="s">
        <v>95</v>
      </c>
      <c r="B326" s="8" t="s">
        <v>194</v>
      </c>
      <c r="C326" s="8" t="s">
        <v>114</v>
      </c>
      <c r="D326" s="8" t="s">
        <v>107</v>
      </c>
      <c r="E326" s="8" t="s">
        <v>125</v>
      </c>
      <c r="F326" s="9" t="s">
        <v>52</v>
      </c>
      <c r="G326" s="20">
        <v>441.3</v>
      </c>
      <c r="H326" s="20"/>
      <c r="I326" s="20">
        <v>434.5</v>
      </c>
      <c r="J326" s="20"/>
      <c r="K326" s="38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1:43" s="1" customFormat="1" ht="15.75">
      <c r="A327" s="7" t="s">
        <v>88</v>
      </c>
      <c r="B327" s="8" t="s">
        <v>194</v>
      </c>
      <c r="C327" s="8" t="s">
        <v>114</v>
      </c>
      <c r="D327" s="8" t="s">
        <v>107</v>
      </c>
      <c r="E327" s="8" t="s">
        <v>125</v>
      </c>
      <c r="F327" s="9" t="s">
        <v>76</v>
      </c>
      <c r="G327" s="20">
        <v>222.6</v>
      </c>
      <c r="H327" s="20"/>
      <c r="I327" s="20">
        <v>222.6</v>
      </c>
      <c r="J327" s="20"/>
      <c r="K327" s="38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1:11" ht="15.75">
      <c r="A328" s="7" t="s">
        <v>147</v>
      </c>
      <c r="B328" s="8" t="s">
        <v>194</v>
      </c>
      <c r="C328" s="8" t="s">
        <v>114</v>
      </c>
      <c r="D328" s="8" t="s">
        <v>107</v>
      </c>
      <c r="E328" s="8" t="s">
        <v>125</v>
      </c>
      <c r="F328" s="9" t="s">
        <v>148</v>
      </c>
      <c r="G328" s="20">
        <v>63471.2</v>
      </c>
      <c r="H328" s="20"/>
      <c r="I328" s="20">
        <v>55788.7</v>
      </c>
      <c r="J328" s="20"/>
      <c r="K328" s="38"/>
    </row>
    <row r="329" spans="1:11" ht="15.75">
      <c r="A329" s="7" t="s">
        <v>17</v>
      </c>
      <c r="B329" s="8" t="s">
        <v>194</v>
      </c>
      <c r="C329" s="8" t="s">
        <v>114</v>
      </c>
      <c r="D329" s="8" t="s">
        <v>107</v>
      </c>
      <c r="E329" s="8" t="s">
        <v>18</v>
      </c>
      <c r="F329" s="9"/>
      <c r="G329" s="20">
        <f>G330+G332</f>
        <v>74181.1</v>
      </c>
      <c r="H329" s="20">
        <f>H330+H332</f>
        <v>0</v>
      </c>
      <c r="I329" s="20">
        <f>I330+I332</f>
        <v>71697.2</v>
      </c>
      <c r="J329" s="20">
        <f>J330+J332</f>
        <v>0</v>
      </c>
      <c r="K329" s="38"/>
    </row>
    <row r="330" spans="1:11" ht="15.75">
      <c r="A330" s="13" t="s">
        <v>228</v>
      </c>
      <c r="B330" s="8" t="s">
        <v>194</v>
      </c>
      <c r="C330" s="8" t="s">
        <v>114</v>
      </c>
      <c r="D330" s="8" t="s">
        <v>107</v>
      </c>
      <c r="E330" s="8" t="s">
        <v>232</v>
      </c>
      <c r="F330" s="9"/>
      <c r="G330" s="20">
        <f>G331</f>
        <v>269.9</v>
      </c>
      <c r="H330" s="20">
        <f>H331</f>
        <v>0</v>
      </c>
      <c r="I330" s="20">
        <f>I331</f>
        <v>267.7</v>
      </c>
      <c r="J330" s="20">
        <f>J331</f>
        <v>0</v>
      </c>
      <c r="K330" s="38"/>
    </row>
    <row r="331" spans="1:11" ht="15.75">
      <c r="A331" s="7" t="s">
        <v>147</v>
      </c>
      <c r="B331" s="8" t="s">
        <v>194</v>
      </c>
      <c r="C331" s="8" t="s">
        <v>114</v>
      </c>
      <c r="D331" s="8" t="s">
        <v>107</v>
      </c>
      <c r="E331" s="8" t="s">
        <v>232</v>
      </c>
      <c r="F331" s="9" t="s">
        <v>148</v>
      </c>
      <c r="G331" s="20">
        <f>224.9+45</f>
        <v>269.9</v>
      </c>
      <c r="H331" s="20"/>
      <c r="I331" s="20">
        <v>267.7</v>
      </c>
      <c r="J331" s="20"/>
      <c r="K331" s="38"/>
    </row>
    <row r="332" spans="1:11" ht="15.75">
      <c r="A332" s="7" t="s">
        <v>14</v>
      </c>
      <c r="B332" s="8" t="s">
        <v>194</v>
      </c>
      <c r="C332" s="8" t="s">
        <v>114</v>
      </c>
      <c r="D332" s="8" t="s">
        <v>107</v>
      </c>
      <c r="E332" s="8" t="s">
        <v>126</v>
      </c>
      <c r="F332" s="9"/>
      <c r="G332" s="20">
        <f>G334+G333</f>
        <v>73911.20000000001</v>
      </c>
      <c r="H332" s="20">
        <f>H334+H333</f>
        <v>0</v>
      </c>
      <c r="I332" s="20">
        <f>I334+I333</f>
        <v>71429.5</v>
      </c>
      <c r="J332" s="20">
        <f>J334+J333</f>
        <v>0</v>
      </c>
      <c r="K332" s="38"/>
    </row>
    <row r="333" spans="1:11" ht="15.75">
      <c r="A333" s="7" t="s">
        <v>95</v>
      </c>
      <c r="B333" s="8" t="s">
        <v>194</v>
      </c>
      <c r="C333" s="8" t="s">
        <v>114</v>
      </c>
      <c r="D333" s="8" t="s">
        <v>107</v>
      </c>
      <c r="E333" s="8" t="s">
        <v>126</v>
      </c>
      <c r="F333" s="9" t="s">
        <v>52</v>
      </c>
      <c r="G333" s="20">
        <v>31.6</v>
      </c>
      <c r="H333" s="20"/>
      <c r="I333" s="20">
        <v>31.6</v>
      </c>
      <c r="J333" s="20"/>
      <c r="K333" s="38"/>
    </row>
    <row r="334" spans="1:11" ht="15.75">
      <c r="A334" s="7" t="s">
        <v>147</v>
      </c>
      <c r="B334" s="8" t="s">
        <v>194</v>
      </c>
      <c r="C334" s="8" t="s">
        <v>114</v>
      </c>
      <c r="D334" s="8" t="s">
        <v>107</v>
      </c>
      <c r="E334" s="8" t="s">
        <v>126</v>
      </c>
      <c r="F334" s="9" t="s">
        <v>148</v>
      </c>
      <c r="G334" s="20">
        <v>73879.6</v>
      </c>
      <c r="H334" s="20"/>
      <c r="I334" s="20">
        <v>71397.9</v>
      </c>
      <c r="J334" s="20"/>
      <c r="K334" s="38"/>
    </row>
    <row r="335" spans="1:11" ht="15.75">
      <c r="A335" s="7" t="s">
        <v>305</v>
      </c>
      <c r="B335" s="8" t="s">
        <v>194</v>
      </c>
      <c r="C335" s="8" t="s">
        <v>114</v>
      </c>
      <c r="D335" s="8" t="s">
        <v>107</v>
      </c>
      <c r="E335" s="8" t="s">
        <v>302</v>
      </c>
      <c r="F335" s="9"/>
      <c r="G335" s="20">
        <f>G336+G339</f>
        <v>27930</v>
      </c>
      <c r="H335" s="20">
        <f>H336+H339</f>
        <v>27930</v>
      </c>
      <c r="I335" s="20">
        <f>I336+I339</f>
        <v>27540</v>
      </c>
      <c r="J335" s="20">
        <f>J336+J339</f>
        <v>27540</v>
      </c>
      <c r="K335" s="38"/>
    </row>
    <row r="336" spans="1:11" ht="29.25">
      <c r="A336" s="6" t="s">
        <v>414</v>
      </c>
      <c r="B336" s="8" t="s">
        <v>194</v>
      </c>
      <c r="C336" s="8" t="s">
        <v>114</v>
      </c>
      <c r="D336" s="8" t="s">
        <v>107</v>
      </c>
      <c r="E336" s="8" t="s">
        <v>413</v>
      </c>
      <c r="F336" s="9"/>
      <c r="G336" s="20">
        <f>G337+G338</f>
        <v>263</v>
      </c>
      <c r="H336" s="20">
        <f>H337+H338</f>
        <v>263</v>
      </c>
      <c r="I336" s="20">
        <f>I337+I338</f>
        <v>251</v>
      </c>
      <c r="J336" s="20">
        <f>J337+J338</f>
        <v>251</v>
      </c>
      <c r="K336" s="38"/>
    </row>
    <row r="337" spans="1:11" ht="15.75">
      <c r="A337" s="7" t="s">
        <v>306</v>
      </c>
      <c r="B337" s="8" t="s">
        <v>194</v>
      </c>
      <c r="C337" s="8" t="s">
        <v>114</v>
      </c>
      <c r="D337" s="8" t="s">
        <v>107</v>
      </c>
      <c r="E337" s="8" t="s">
        <v>413</v>
      </c>
      <c r="F337" s="9" t="s">
        <v>303</v>
      </c>
      <c r="G337" s="20">
        <v>105.2</v>
      </c>
      <c r="H337" s="20">
        <v>105.2</v>
      </c>
      <c r="I337" s="20">
        <v>105.2</v>
      </c>
      <c r="J337" s="20">
        <v>105.2</v>
      </c>
      <c r="K337" s="38"/>
    </row>
    <row r="338" spans="1:11" ht="15.75">
      <c r="A338" s="7" t="s">
        <v>307</v>
      </c>
      <c r="B338" s="8" t="s">
        <v>194</v>
      </c>
      <c r="C338" s="8" t="s">
        <v>114</v>
      </c>
      <c r="D338" s="8" t="s">
        <v>107</v>
      </c>
      <c r="E338" s="8" t="s">
        <v>413</v>
      </c>
      <c r="F338" s="9" t="s">
        <v>304</v>
      </c>
      <c r="G338" s="20">
        <v>157.8</v>
      </c>
      <c r="H338" s="20">
        <v>157.8</v>
      </c>
      <c r="I338" s="20">
        <v>145.8</v>
      </c>
      <c r="J338" s="20">
        <v>145.8</v>
      </c>
      <c r="K338" s="38"/>
    </row>
    <row r="339" spans="1:11" ht="15.75">
      <c r="A339" s="7" t="s">
        <v>393</v>
      </c>
      <c r="B339" s="8" t="s">
        <v>194</v>
      </c>
      <c r="C339" s="8" t="s">
        <v>114</v>
      </c>
      <c r="D339" s="8" t="s">
        <v>107</v>
      </c>
      <c r="E339" s="8" t="s">
        <v>392</v>
      </c>
      <c r="F339" s="9"/>
      <c r="G339" s="20">
        <f>G340</f>
        <v>27667</v>
      </c>
      <c r="H339" s="20">
        <f>H340</f>
        <v>27667</v>
      </c>
      <c r="I339" s="20">
        <f>I340</f>
        <v>27289</v>
      </c>
      <c r="J339" s="20">
        <f>J340</f>
        <v>27289</v>
      </c>
      <c r="K339" s="38"/>
    </row>
    <row r="340" spans="1:11" ht="15.75">
      <c r="A340" s="7" t="s">
        <v>310</v>
      </c>
      <c r="B340" s="8" t="s">
        <v>194</v>
      </c>
      <c r="C340" s="8" t="s">
        <v>114</v>
      </c>
      <c r="D340" s="8" t="s">
        <v>107</v>
      </c>
      <c r="E340" s="8" t="s">
        <v>392</v>
      </c>
      <c r="F340" s="9" t="s">
        <v>309</v>
      </c>
      <c r="G340" s="20">
        <v>27667</v>
      </c>
      <c r="H340" s="20">
        <v>27667</v>
      </c>
      <c r="I340" s="20">
        <v>27289</v>
      </c>
      <c r="J340" s="20">
        <v>27289</v>
      </c>
      <c r="K340" s="38"/>
    </row>
    <row r="341" spans="1:11" ht="15.75">
      <c r="A341" s="7" t="s">
        <v>74</v>
      </c>
      <c r="B341" s="8" t="s">
        <v>194</v>
      </c>
      <c r="C341" s="8" t="s">
        <v>114</v>
      </c>
      <c r="D341" s="8" t="s">
        <v>107</v>
      </c>
      <c r="E341" s="8" t="s">
        <v>58</v>
      </c>
      <c r="F341" s="9"/>
      <c r="G341" s="20">
        <f>G342+G349+G345</f>
        <v>7785</v>
      </c>
      <c r="H341" s="20">
        <f>H342+H349+H345</f>
        <v>7785</v>
      </c>
      <c r="I341" s="20">
        <f>I342+I349+I345</f>
        <v>7499.5</v>
      </c>
      <c r="J341" s="20">
        <f>J342+J349+J345</f>
        <v>7499.5</v>
      </c>
      <c r="K341" s="38"/>
    </row>
    <row r="342" spans="1:11" ht="23.25" customHeight="1">
      <c r="A342" s="6" t="s">
        <v>179</v>
      </c>
      <c r="B342" s="8" t="s">
        <v>194</v>
      </c>
      <c r="C342" s="8" t="s">
        <v>114</v>
      </c>
      <c r="D342" s="8" t="s">
        <v>107</v>
      </c>
      <c r="E342" s="8" t="s">
        <v>180</v>
      </c>
      <c r="F342" s="9"/>
      <c r="G342" s="20">
        <f>G343+G344</f>
        <v>4765</v>
      </c>
      <c r="H342" s="20">
        <f>H343+H344</f>
        <v>4765</v>
      </c>
      <c r="I342" s="20">
        <f>I343+I344</f>
        <v>4479.5</v>
      </c>
      <c r="J342" s="20">
        <f>J343+J344</f>
        <v>4479.5</v>
      </c>
      <c r="K342" s="38"/>
    </row>
    <row r="343" spans="1:11" ht="15.75">
      <c r="A343" s="7" t="s">
        <v>306</v>
      </c>
      <c r="B343" s="8" t="s">
        <v>194</v>
      </c>
      <c r="C343" s="8" t="s">
        <v>114</v>
      </c>
      <c r="D343" s="8" t="s">
        <v>107</v>
      </c>
      <c r="E343" s="8" t="s">
        <v>180</v>
      </c>
      <c r="F343" s="9" t="s">
        <v>303</v>
      </c>
      <c r="G343" s="20">
        <f>822.2+10</f>
        <v>832.2</v>
      </c>
      <c r="H343" s="20">
        <f>822.2+10</f>
        <v>832.2</v>
      </c>
      <c r="I343" s="20">
        <v>779</v>
      </c>
      <c r="J343" s="20">
        <v>779</v>
      </c>
      <c r="K343" s="38"/>
    </row>
    <row r="344" spans="1:11" ht="15.75">
      <c r="A344" s="7" t="s">
        <v>307</v>
      </c>
      <c r="B344" s="8" t="s">
        <v>194</v>
      </c>
      <c r="C344" s="8" t="s">
        <v>114</v>
      </c>
      <c r="D344" s="8" t="s">
        <v>107</v>
      </c>
      <c r="E344" s="8" t="s">
        <v>180</v>
      </c>
      <c r="F344" s="9" t="s">
        <v>304</v>
      </c>
      <c r="G344" s="20">
        <f>3864.8+78-10</f>
        <v>3932.8</v>
      </c>
      <c r="H344" s="20">
        <f>3864.8+78-10</f>
        <v>3932.8</v>
      </c>
      <c r="I344" s="20">
        <v>3700.5</v>
      </c>
      <c r="J344" s="20">
        <v>3700.5</v>
      </c>
      <c r="K344" s="38"/>
    </row>
    <row r="345" spans="1:11" ht="72">
      <c r="A345" s="6" t="s">
        <v>503</v>
      </c>
      <c r="B345" s="8" t="s">
        <v>194</v>
      </c>
      <c r="C345" s="8" t="s">
        <v>114</v>
      </c>
      <c r="D345" s="8" t="s">
        <v>107</v>
      </c>
      <c r="E345" s="8" t="s">
        <v>485</v>
      </c>
      <c r="F345" s="9"/>
      <c r="G345" s="20">
        <f>G346</f>
        <v>1020</v>
      </c>
      <c r="H345" s="20">
        <f>H346</f>
        <v>1020</v>
      </c>
      <c r="I345" s="20">
        <f>I346</f>
        <v>1020</v>
      </c>
      <c r="J345" s="20">
        <f>J346</f>
        <v>1020</v>
      </c>
      <c r="K345" s="38"/>
    </row>
    <row r="346" spans="1:11" ht="29.25">
      <c r="A346" s="6" t="s">
        <v>487</v>
      </c>
      <c r="B346" s="8" t="s">
        <v>194</v>
      </c>
      <c r="C346" s="8" t="s">
        <v>114</v>
      </c>
      <c r="D346" s="8" t="s">
        <v>107</v>
      </c>
      <c r="E346" s="8" t="s">
        <v>486</v>
      </c>
      <c r="F346" s="9"/>
      <c r="G346" s="20">
        <f>G347+G348</f>
        <v>1020</v>
      </c>
      <c r="H346" s="20">
        <f>H347+H348</f>
        <v>1020</v>
      </c>
      <c r="I346" s="20">
        <f>I347+I348</f>
        <v>1020</v>
      </c>
      <c r="J346" s="20">
        <f>J347+J348</f>
        <v>1020</v>
      </c>
      <c r="K346" s="38"/>
    </row>
    <row r="347" spans="1:11" ht="15.75">
      <c r="A347" s="7" t="s">
        <v>306</v>
      </c>
      <c r="B347" s="8" t="s">
        <v>194</v>
      </c>
      <c r="C347" s="8" t="s">
        <v>114</v>
      </c>
      <c r="D347" s="8" t="s">
        <v>107</v>
      </c>
      <c r="E347" s="8" t="s">
        <v>486</v>
      </c>
      <c r="F347" s="9" t="s">
        <v>303</v>
      </c>
      <c r="G347" s="20">
        <v>140</v>
      </c>
      <c r="H347" s="20">
        <v>140</v>
      </c>
      <c r="I347" s="20">
        <v>140</v>
      </c>
      <c r="J347" s="20">
        <v>140</v>
      </c>
      <c r="K347" s="38"/>
    </row>
    <row r="348" spans="1:11" ht="15.75">
      <c r="A348" s="7" t="s">
        <v>307</v>
      </c>
      <c r="B348" s="8" t="s">
        <v>194</v>
      </c>
      <c r="C348" s="8" t="s">
        <v>114</v>
      </c>
      <c r="D348" s="8" t="s">
        <v>107</v>
      </c>
      <c r="E348" s="8" t="s">
        <v>486</v>
      </c>
      <c r="F348" s="9" t="s">
        <v>304</v>
      </c>
      <c r="G348" s="20">
        <v>880</v>
      </c>
      <c r="H348" s="20">
        <v>880</v>
      </c>
      <c r="I348" s="20">
        <v>880</v>
      </c>
      <c r="J348" s="20">
        <v>880</v>
      </c>
      <c r="K348" s="38"/>
    </row>
    <row r="349" spans="1:11" ht="15.75">
      <c r="A349" s="7" t="s">
        <v>219</v>
      </c>
      <c r="B349" s="8" t="s">
        <v>194</v>
      </c>
      <c r="C349" s="8" t="s">
        <v>114</v>
      </c>
      <c r="D349" s="8" t="s">
        <v>107</v>
      </c>
      <c r="E349" s="8" t="s">
        <v>218</v>
      </c>
      <c r="F349" s="9"/>
      <c r="G349" s="20">
        <f>G350+G353</f>
        <v>2000</v>
      </c>
      <c r="H349" s="20">
        <f>H350+H353</f>
        <v>2000</v>
      </c>
      <c r="I349" s="20">
        <f>I350+I353</f>
        <v>2000</v>
      </c>
      <c r="J349" s="20">
        <f>J350+J353</f>
        <v>2000</v>
      </c>
      <c r="K349" s="38"/>
    </row>
    <row r="350" spans="1:11" ht="37.5" customHeight="1">
      <c r="A350" s="6" t="s">
        <v>369</v>
      </c>
      <c r="B350" s="8" t="s">
        <v>194</v>
      </c>
      <c r="C350" s="8" t="s">
        <v>114</v>
      </c>
      <c r="D350" s="8" t="s">
        <v>107</v>
      </c>
      <c r="E350" s="8" t="s">
        <v>366</v>
      </c>
      <c r="F350" s="9"/>
      <c r="G350" s="20">
        <f>G351</f>
        <v>1000</v>
      </c>
      <c r="H350" s="20">
        <f aca="true" t="shared" si="29" ref="H350:J351">H351</f>
        <v>1000</v>
      </c>
      <c r="I350" s="20">
        <f t="shared" si="29"/>
        <v>1000</v>
      </c>
      <c r="J350" s="20">
        <f t="shared" si="29"/>
        <v>1000</v>
      </c>
      <c r="K350" s="38"/>
    </row>
    <row r="351" spans="1:11" ht="72">
      <c r="A351" s="6" t="s">
        <v>388</v>
      </c>
      <c r="B351" s="8" t="s">
        <v>194</v>
      </c>
      <c r="C351" s="8" t="s">
        <v>114</v>
      </c>
      <c r="D351" s="8" t="s">
        <v>107</v>
      </c>
      <c r="E351" s="8" t="s">
        <v>387</v>
      </c>
      <c r="F351" s="9"/>
      <c r="G351" s="20">
        <f>G352</f>
        <v>1000</v>
      </c>
      <c r="H351" s="20">
        <f t="shared" si="29"/>
        <v>1000</v>
      </c>
      <c r="I351" s="20">
        <f t="shared" si="29"/>
        <v>1000</v>
      </c>
      <c r="J351" s="20">
        <f t="shared" si="29"/>
        <v>1000</v>
      </c>
      <c r="K351" s="38"/>
    </row>
    <row r="352" spans="1:11" ht="15.75">
      <c r="A352" s="7" t="s">
        <v>310</v>
      </c>
      <c r="B352" s="8" t="s">
        <v>194</v>
      </c>
      <c r="C352" s="8" t="s">
        <v>114</v>
      </c>
      <c r="D352" s="8" t="s">
        <v>107</v>
      </c>
      <c r="E352" s="8" t="s">
        <v>387</v>
      </c>
      <c r="F352" s="9" t="s">
        <v>309</v>
      </c>
      <c r="G352" s="20">
        <v>1000</v>
      </c>
      <c r="H352" s="20">
        <v>1000</v>
      </c>
      <c r="I352" s="20">
        <v>1000</v>
      </c>
      <c r="J352" s="20">
        <v>1000</v>
      </c>
      <c r="K352" s="38"/>
    </row>
    <row r="353" spans="1:11" ht="57.75">
      <c r="A353" s="6" t="s">
        <v>390</v>
      </c>
      <c r="B353" s="8" t="s">
        <v>194</v>
      </c>
      <c r="C353" s="8" t="s">
        <v>114</v>
      </c>
      <c r="D353" s="8" t="s">
        <v>107</v>
      </c>
      <c r="E353" s="8" t="s">
        <v>389</v>
      </c>
      <c r="F353" s="9"/>
      <c r="G353" s="20">
        <f>G354</f>
        <v>1000</v>
      </c>
      <c r="H353" s="20">
        <f aca="true" t="shared" si="30" ref="H353:J354">H354</f>
        <v>1000</v>
      </c>
      <c r="I353" s="20">
        <f t="shared" si="30"/>
        <v>1000</v>
      </c>
      <c r="J353" s="20">
        <f t="shared" si="30"/>
        <v>1000</v>
      </c>
      <c r="K353" s="38"/>
    </row>
    <row r="354" spans="1:11" ht="72">
      <c r="A354" s="6" t="s">
        <v>395</v>
      </c>
      <c r="B354" s="8" t="s">
        <v>194</v>
      </c>
      <c r="C354" s="8" t="s">
        <v>114</v>
      </c>
      <c r="D354" s="8" t="s">
        <v>107</v>
      </c>
      <c r="E354" s="8" t="s">
        <v>391</v>
      </c>
      <c r="F354" s="9"/>
      <c r="G354" s="20">
        <f>G355</f>
        <v>1000</v>
      </c>
      <c r="H354" s="20">
        <f t="shared" si="30"/>
        <v>1000</v>
      </c>
      <c r="I354" s="20">
        <f t="shared" si="30"/>
        <v>1000</v>
      </c>
      <c r="J354" s="20">
        <f t="shared" si="30"/>
        <v>1000</v>
      </c>
      <c r="K354" s="38"/>
    </row>
    <row r="355" spans="1:11" ht="15.75">
      <c r="A355" s="7" t="s">
        <v>310</v>
      </c>
      <c r="B355" s="8" t="s">
        <v>194</v>
      </c>
      <c r="C355" s="8" t="s">
        <v>114</v>
      </c>
      <c r="D355" s="8" t="s">
        <v>107</v>
      </c>
      <c r="E355" s="8" t="s">
        <v>391</v>
      </c>
      <c r="F355" s="9" t="s">
        <v>309</v>
      </c>
      <c r="G355" s="20">
        <v>1000</v>
      </c>
      <c r="H355" s="20">
        <v>1000</v>
      </c>
      <c r="I355" s="20">
        <v>1000</v>
      </c>
      <c r="J355" s="20">
        <v>1000</v>
      </c>
      <c r="K355" s="38"/>
    </row>
    <row r="356" spans="1:11" ht="15.75">
      <c r="A356" s="10" t="s">
        <v>16</v>
      </c>
      <c r="B356" s="11" t="s">
        <v>194</v>
      </c>
      <c r="C356" s="11" t="s">
        <v>114</v>
      </c>
      <c r="D356" s="11"/>
      <c r="E356" s="11"/>
      <c r="F356" s="12"/>
      <c r="G356" s="19">
        <f>G364+G357</f>
        <v>8855</v>
      </c>
      <c r="H356" s="19">
        <f>H364+H357</f>
        <v>4574</v>
      </c>
      <c r="I356" s="19">
        <f>I364+I357</f>
        <v>8787.2</v>
      </c>
      <c r="J356" s="19">
        <f>J364+J357</f>
        <v>4574</v>
      </c>
      <c r="K356" s="37">
        <f>I356/G356*100</f>
        <v>99.23433088650481</v>
      </c>
    </row>
    <row r="357" spans="1:11" ht="23.25" customHeight="1">
      <c r="A357" s="6" t="s">
        <v>363</v>
      </c>
      <c r="B357" s="8" t="s">
        <v>194</v>
      </c>
      <c r="C357" s="8" t="s">
        <v>114</v>
      </c>
      <c r="D357" s="8" t="s">
        <v>114</v>
      </c>
      <c r="E357" s="8"/>
      <c r="F357" s="9"/>
      <c r="G357" s="20">
        <f aca="true" t="shared" si="31" ref="G357:J359">G358</f>
        <v>4574</v>
      </c>
      <c r="H357" s="20">
        <f t="shared" si="31"/>
        <v>4574</v>
      </c>
      <c r="I357" s="20">
        <f t="shared" si="31"/>
        <v>4574</v>
      </c>
      <c r="J357" s="20">
        <f t="shared" si="31"/>
        <v>4574</v>
      </c>
      <c r="K357" s="38"/>
    </row>
    <row r="358" spans="1:11" ht="20.25" customHeight="1">
      <c r="A358" s="7" t="s">
        <v>219</v>
      </c>
      <c r="B358" s="8" t="s">
        <v>194</v>
      </c>
      <c r="C358" s="8" t="s">
        <v>114</v>
      </c>
      <c r="D358" s="8" t="s">
        <v>114</v>
      </c>
      <c r="E358" s="8" t="s">
        <v>218</v>
      </c>
      <c r="F358" s="9"/>
      <c r="G358" s="20">
        <f t="shared" si="31"/>
        <v>4574</v>
      </c>
      <c r="H358" s="20">
        <f t="shared" si="31"/>
        <v>4574</v>
      </c>
      <c r="I358" s="20">
        <f t="shared" si="31"/>
        <v>4574</v>
      </c>
      <c r="J358" s="20">
        <f t="shared" si="31"/>
        <v>4574</v>
      </c>
      <c r="K358" s="38"/>
    </row>
    <row r="359" spans="1:11" ht="43.5">
      <c r="A359" s="6" t="s">
        <v>403</v>
      </c>
      <c r="B359" s="8" t="s">
        <v>194</v>
      </c>
      <c r="C359" s="8" t="s">
        <v>114</v>
      </c>
      <c r="D359" s="8" t="s">
        <v>114</v>
      </c>
      <c r="E359" s="8" t="s">
        <v>402</v>
      </c>
      <c r="F359" s="9"/>
      <c r="G359" s="20">
        <f t="shared" si="31"/>
        <v>4574</v>
      </c>
      <c r="H359" s="20">
        <f t="shared" si="31"/>
        <v>4574</v>
      </c>
      <c r="I359" s="20">
        <f t="shared" si="31"/>
        <v>4574</v>
      </c>
      <c r="J359" s="20">
        <f t="shared" si="31"/>
        <v>4574</v>
      </c>
      <c r="K359" s="38"/>
    </row>
    <row r="360" spans="1:11" ht="15.75">
      <c r="A360" s="6" t="s">
        <v>363</v>
      </c>
      <c r="B360" s="8" t="s">
        <v>194</v>
      </c>
      <c r="C360" s="8" t="s">
        <v>114</v>
      </c>
      <c r="D360" s="8" t="s">
        <v>114</v>
      </c>
      <c r="E360" s="8" t="s">
        <v>412</v>
      </c>
      <c r="F360" s="9"/>
      <c r="G360" s="20">
        <f>G361+G362+G363</f>
        <v>4574</v>
      </c>
      <c r="H360" s="20">
        <f>H361+H362+H363</f>
        <v>4574</v>
      </c>
      <c r="I360" s="20">
        <f>I361+I362+I363</f>
        <v>4574</v>
      </c>
      <c r="J360" s="20">
        <f>J361+J362+J363</f>
        <v>4574</v>
      </c>
      <c r="K360" s="38"/>
    </row>
    <row r="361" spans="1:11" ht="29.25">
      <c r="A361" s="6" t="s">
        <v>405</v>
      </c>
      <c r="B361" s="8" t="s">
        <v>194</v>
      </c>
      <c r="C361" s="8" t="s">
        <v>114</v>
      </c>
      <c r="D361" s="8" t="s">
        <v>114</v>
      </c>
      <c r="E361" s="8" t="s">
        <v>412</v>
      </c>
      <c r="F361" s="9" t="s">
        <v>404</v>
      </c>
      <c r="G361" s="20">
        <f>2138.7-1202.1+69.3+120.3</f>
        <v>1126.1999999999998</v>
      </c>
      <c r="H361" s="20">
        <f>2138.7-1202.1+69.3+120.3</f>
        <v>1126.1999999999998</v>
      </c>
      <c r="I361" s="20">
        <v>1126.2</v>
      </c>
      <c r="J361" s="20">
        <v>1126.2</v>
      </c>
      <c r="K361" s="38"/>
    </row>
    <row r="362" spans="1:11" ht="15.75">
      <c r="A362" s="7" t="s">
        <v>306</v>
      </c>
      <c r="B362" s="8" t="s">
        <v>194</v>
      </c>
      <c r="C362" s="8" t="s">
        <v>114</v>
      </c>
      <c r="D362" s="8" t="s">
        <v>114</v>
      </c>
      <c r="E362" s="8" t="s">
        <v>412</v>
      </c>
      <c r="F362" s="9" t="s">
        <v>303</v>
      </c>
      <c r="G362" s="20">
        <f>552.3+156.8-120.3</f>
        <v>588.8</v>
      </c>
      <c r="H362" s="20">
        <f>552.3+156.8-120.3</f>
        <v>588.8</v>
      </c>
      <c r="I362" s="20">
        <v>588.8</v>
      </c>
      <c r="J362" s="20">
        <v>588.8</v>
      </c>
      <c r="K362" s="38"/>
    </row>
    <row r="363" spans="1:11" ht="15.75">
      <c r="A363" s="7" t="s">
        <v>307</v>
      </c>
      <c r="B363" s="8" t="s">
        <v>194</v>
      </c>
      <c r="C363" s="8" t="s">
        <v>114</v>
      </c>
      <c r="D363" s="8" t="s">
        <v>114</v>
      </c>
      <c r="E363" s="8" t="s">
        <v>412</v>
      </c>
      <c r="F363" s="9" t="s">
        <v>304</v>
      </c>
      <c r="G363" s="20">
        <f>1656.9+1202.1</f>
        <v>2859</v>
      </c>
      <c r="H363" s="20">
        <f>1656.9+1202.1</f>
        <v>2859</v>
      </c>
      <c r="I363" s="20">
        <v>2859</v>
      </c>
      <c r="J363" s="20">
        <v>2859</v>
      </c>
      <c r="K363" s="38"/>
    </row>
    <row r="364" spans="1:11" ht="15.75">
      <c r="A364" s="7" t="s">
        <v>78</v>
      </c>
      <c r="B364" s="8" t="s">
        <v>194</v>
      </c>
      <c r="C364" s="8" t="s">
        <v>114</v>
      </c>
      <c r="D364" s="8" t="s">
        <v>114</v>
      </c>
      <c r="E364" s="8" t="s">
        <v>79</v>
      </c>
      <c r="F364" s="9"/>
      <c r="G364" s="20">
        <f>G365</f>
        <v>4281</v>
      </c>
      <c r="H364" s="20">
        <f>H365</f>
        <v>0</v>
      </c>
      <c r="I364" s="20">
        <f>I365</f>
        <v>4213.2</v>
      </c>
      <c r="J364" s="20">
        <f>J365</f>
        <v>0</v>
      </c>
      <c r="K364" s="38"/>
    </row>
    <row r="365" spans="1:11" ht="29.25">
      <c r="A365" s="6" t="s">
        <v>260</v>
      </c>
      <c r="B365" s="8" t="s">
        <v>194</v>
      </c>
      <c r="C365" s="8" t="s">
        <v>114</v>
      </c>
      <c r="D365" s="8" t="s">
        <v>114</v>
      </c>
      <c r="E365" s="8" t="s">
        <v>256</v>
      </c>
      <c r="F365" s="9"/>
      <c r="G365" s="20">
        <f>G366+G367</f>
        <v>4281</v>
      </c>
      <c r="H365" s="20">
        <f>H366+H367</f>
        <v>0</v>
      </c>
      <c r="I365" s="20">
        <f>I366+I367</f>
        <v>4213.2</v>
      </c>
      <c r="J365" s="20">
        <f>J366+J367</f>
        <v>0</v>
      </c>
      <c r="K365" s="38"/>
    </row>
    <row r="366" spans="1:11" ht="15.75">
      <c r="A366" s="7" t="s">
        <v>147</v>
      </c>
      <c r="B366" s="8" t="s">
        <v>194</v>
      </c>
      <c r="C366" s="8" t="s">
        <v>114</v>
      </c>
      <c r="D366" s="8" t="s">
        <v>114</v>
      </c>
      <c r="E366" s="8" t="s">
        <v>256</v>
      </c>
      <c r="F366" s="9" t="s">
        <v>148</v>
      </c>
      <c r="G366" s="20">
        <v>3244.4</v>
      </c>
      <c r="H366" s="20"/>
      <c r="I366" s="20">
        <v>3244.3</v>
      </c>
      <c r="J366" s="20"/>
      <c r="K366" s="38"/>
    </row>
    <row r="367" spans="1:11" ht="15.75">
      <c r="A367" s="7" t="s">
        <v>144</v>
      </c>
      <c r="B367" s="8" t="s">
        <v>194</v>
      </c>
      <c r="C367" s="8" t="s">
        <v>114</v>
      </c>
      <c r="D367" s="8" t="s">
        <v>114</v>
      </c>
      <c r="E367" s="8" t="s">
        <v>256</v>
      </c>
      <c r="F367" s="9" t="s">
        <v>150</v>
      </c>
      <c r="G367" s="20">
        <v>1036.6</v>
      </c>
      <c r="H367" s="20"/>
      <c r="I367" s="20">
        <v>968.9</v>
      </c>
      <c r="J367" s="20"/>
      <c r="K367" s="38"/>
    </row>
    <row r="368" spans="1:11" ht="15.75">
      <c r="A368" s="10" t="s">
        <v>19</v>
      </c>
      <c r="B368" s="11" t="s">
        <v>194</v>
      </c>
      <c r="C368" s="11" t="s">
        <v>114</v>
      </c>
      <c r="D368" s="11" t="s">
        <v>112</v>
      </c>
      <c r="E368" s="11"/>
      <c r="F368" s="12"/>
      <c r="G368" s="19">
        <f>G369+G377+G384+G372</f>
        <v>104633.8</v>
      </c>
      <c r="H368" s="19">
        <f>H369+H377+H384+H372</f>
        <v>10615.5</v>
      </c>
      <c r="I368" s="19">
        <f>I369+I377+I384+I372</f>
        <v>102477.79999999999</v>
      </c>
      <c r="J368" s="19">
        <f>J369+J377+J384+J372</f>
        <v>10615.5</v>
      </c>
      <c r="K368" s="37">
        <f>I368/G368*100</f>
        <v>97.93948035911913</v>
      </c>
    </row>
    <row r="369" spans="1:43" s="1" customFormat="1" ht="15.75">
      <c r="A369" s="6" t="s">
        <v>87</v>
      </c>
      <c r="B369" s="8" t="s">
        <v>194</v>
      </c>
      <c r="C369" s="8" t="s">
        <v>114</v>
      </c>
      <c r="D369" s="8" t="s">
        <v>112</v>
      </c>
      <c r="E369" s="8" t="s">
        <v>149</v>
      </c>
      <c r="F369" s="9"/>
      <c r="G369" s="20">
        <f>G370</f>
        <v>14313.4</v>
      </c>
      <c r="H369" s="20">
        <f aca="true" t="shared" si="32" ref="H369:J370">H370</f>
        <v>0</v>
      </c>
      <c r="I369" s="20">
        <f t="shared" si="32"/>
        <v>13404.8</v>
      </c>
      <c r="J369" s="20">
        <f t="shared" si="32"/>
        <v>0</v>
      </c>
      <c r="K369" s="37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1:11" ht="15.75">
      <c r="A370" s="7" t="s">
        <v>33</v>
      </c>
      <c r="B370" s="8" t="s">
        <v>194</v>
      </c>
      <c r="C370" s="8" t="s">
        <v>114</v>
      </c>
      <c r="D370" s="8" t="s">
        <v>112</v>
      </c>
      <c r="E370" s="8" t="s">
        <v>151</v>
      </c>
      <c r="F370" s="9"/>
      <c r="G370" s="20">
        <f>G371</f>
        <v>14313.4</v>
      </c>
      <c r="H370" s="20">
        <f t="shared" si="32"/>
        <v>0</v>
      </c>
      <c r="I370" s="20">
        <f t="shared" si="32"/>
        <v>13404.8</v>
      </c>
      <c r="J370" s="20">
        <f t="shared" si="32"/>
        <v>0</v>
      </c>
      <c r="K370" s="38"/>
    </row>
    <row r="371" spans="1:11" ht="15.75">
      <c r="A371" s="7" t="s">
        <v>144</v>
      </c>
      <c r="B371" s="8" t="s">
        <v>194</v>
      </c>
      <c r="C371" s="8" t="s">
        <v>114</v>
      </c>
      <c r="D371" s="8" t="s">
        <v>112</v>
      </c>
      <c r="E371" s="8" t="s">
        <v>151</v>
      </c>
      <c r="F371" s="9" t="s">
        <v>150</v>
      </c>
      <c r="G371" s="20">
        <v>14313.4</v>
      </c>
      <c r="H371" s="20"/>
      <c r="I371" s="20">
        <v>13404.8</v>
      </c>
      <c r="J371" s="20"/>
      <c r="K371" s="38"/>
    </row>
    <row r="372" spans="1:11" ht="29.25">
      <c r="A372" s="6" t="s">
        <v>182</v>
      </c>
      <c r="B372" s="8" t="s">
        <v>194</v>
      </c>
      <c r="C372" s="8" t="s">
        <v>114</v>
      </c>
      <c r="D372" s="8" t="s">
        <v>112</v>
      </c>
      <c r="E372" s="8" t="s">
        <v>15</v>
      </c>
      <c r="F372" s="9"/>
      <c r="G372" s="20">
        <f>G373+G375</f>
        <v>9745</v>
      </c>
      <c r="H372" s="20">
        <f>H373+H375</f>
        <v>9745</v>
      </c>
      <c r="I372" s="20">
        <f>I373+I375</f>
        <v>9745</v>
      </c>
      <c r="J372" s="20">
        <f>J373+J375</f>
        <v>9745</v>
      </c>
      <c r="K372" s="38"/>
    </row>
    <row r="373" spans="1:11" ht="57.75">
      <c r="A373" s="6" t="s">
        <v>499</v>
      </c>
      <c r="B373" s="8" t="s">
        <v>194</v>
      </c>
      <c r="C373" s="8" t="s">
        <v>114</v>
      </c>
      <c r="D373" s="8" t="s">
        <v>112</v>
      </c>
      <c r="E373" s="8" t="s">
        <v>311</v>
      </c>
      <c r="F373" s="9"/>
      <c r="G373" s="20">
        <f>G374</f>
        <v>537</v>
      </c>
      <c r="H373" s="20">
        <f>H374</f>
        <v>537</v>
      </c>
      <c r="I373" s="20">
        <f>I374</f>
        <v>537</v>
      </c>
      <c r="J373" s="20">
        <f>J374</f>
        <v>537</v>
      </c>
      <c r="K373" s="38"/>
    </row>
    <row r="374" spans="1:11" ht="29.25">
      <c r="A374" s="6" t="s">
        <v>313</v>
      </c>
      <c r="B374" s="8" t="s">
        <v>194</v>
      </c>
      <c r="C374" s="8" t="s">
        <v>114</v>
      </c>
      <c r="D374" s="8" t="s">
        <v>112</v>
      </c>
      <c r="E374" s="8" t="s">
        <v>311</v>
      </c>
      <c r="F374" s="9" t="s">
        <v>312</v>
      </c>
      <c r="G374" s="20">
        <v>537</v>
      </c>
      <c r="H374" s="20">
        <v>537</v>
      </c>
      <c r="I374" s="20">
        <v>537</v>
      </c>
      <c r="J374" s="20">
        <v>537</v>
      </c>
      <c r="K374" s="38"/>
    </row>
    <row r="375" spans="1:11" ht="100.5" customHeight="1">
      <c r="A375" s="6" t="s">
        <v>358</v>
      </c>
      <c r="B375" s="8" t="s">
        <v>194</v>
      </c>
      <c r="C375" s="8" t="s">
        <v>114</v>
      </c>
      <c r="D375" s="8" t="s">
        <v>112</v>
      </c>
      <c r="E375" s="8" t="s">
        <v>316</v>
      </c>
      <c r="F375" s="9"/>
      <c r="G375" s="20">
        <f>G376</f>
        <v>9208</v>
      </c>
      <c r="H375" s="20">
        <f>H376</f>
        <v>9208</v>
      </c>
      <c r="I375" s="20">
        <f>I376</f>
        <v>9208</v>
      </c>
      <c r="J375" s="20">
        <f>J376</f>
        <v>9208</v>
      </c>
      <c r="K375" s="38"/>
    </row>
    <row r="376" spans="1:11" ht="29.25">
      <c r="A376" s="6" t="s">
        <v>313</v>
      </c>
      <c r="B376" s="8" t="s">
        <v>194</v>
      </c>
      <c r="C376" s="8" t="s">
        <v>114</v>
      </c>
      <c r="D376" s="8" t="s">
        <v>112</v>
      </c>
      <c r="E376" s="8" t="s">
        <v>316</v>
      </c>
      <c r="F376" s="9" t="s">
        <v>312</v>
      </c>
      <c r="G376" s="20">
        <f>17387-8179</f>
        <v>9208</v>
      </c>
      <c r="H376" s="20">
        <f>17387-8179</f>
        <v>9208</v>
      </c>
      <c r="I376" s="20">
        <v>9208</v>
      </c>
      <c r="J376" s="20">
        <v>9208</v>
      </c>
      <c r="K376" s="38"/>
    </row>
    <row r="377" spans="1:11" ht="57.75">
      <c r="A377" s="6" t="s">
        <v>68</v>
      </c>
      <c r="B377" s="8" t="s">
        <v>194</v>
      </c>
      <c r="C377" s="8" t="s">
        <v>114</v>
      </c>
      <c r="D377" s="8" t="s">
        <v>112</v>
      </c>
      <c r="E377" s="8" t="s">
        <v>25</v>
      </c>
      <c r="F377" s="9"/>
      <c r="G377" s="20">
        <f>G378+G380+G382</f>
        <v>29247.300000000003</v>
      </c>
      <c r="H377" s="20">
        <f>H378+H380+H382</f>
        <v>870.5</v>
      </c>
      <c r="I377" s="20">
        <f>I378+I380+I382</f>
        <v>29247.3</v>
      </c>
      <c r="J377" s="20">
        <f>J378+J380+J382</f>
        <v>870.5</v>
      </c>
      <c r="K377" s="38"/>
    </row>
    <row r="378" spans="1:11" ht="35.25" customHeight="1">
      <c r="A378" s="6" t="s">
        <v>352</v>
      </c>
      <c r="B378" s="8" t="s">
        <v>194</v>
      </c>
      <c r="C378" s="8" t="s">
        <v>114</v>
      </c>
      <c r="D378" s="8" t="s">
        <v>112</v>
      </c>
      <c r="E378" s="8" t="s">
        <v>351</v>
      </c>
      <c r="F378" s="9"/>
      <c r="G378" s="20">
        <f>G379</f>
        <v>870.9</v>
      </c>
      <c r="H378" s="20">
        <f>H379</f>
        <v>870.5</v>
      </c>
      <c r="I378" s="20">
        <f>I379</f>
        <v>870.9</v>
      </c>
      <c r="J378" s="20">
        <f>J379</f>
        <v>870.5</v>
      </c>
      <c r="K378" s="38"/>
    </row>
    <row r="379" spans="1:11" ht="15.75">
      <c r="A379" s="7" t="s">
        <v>306</v>
      </c>
      <c r="B379" s="8" t="s">
        <v>194</v>
      </c>
      <c r="C379" s="8" t="s">
        <v>114</v>
      </c>
      <c r="D379" s="8" t="s">
        <v>112</v>
      </c>
      <c r="E379" s="8" t="s">
        <v>351</v>
      </c>
      <c r="F379" s="9" t="s">
        <v>303</v>
      </c>
      <c r="G379" s="20">
        <f>931+0.4-60.5</f>
        <v>870.9</v>
      </c>
      <c r="H379" s="20">
        <f>931-60.5</f>
        <v>870.5</v>
      </c>
      <c r="I379" s="20">
        <v>870.9</v>
      </c>
      <c r="J379" s="20">
        <v>870.5</v>
      </c>
      <c r="K379" s="38"/>
    </row>
    <row r="380" spans="1:11" ht="15.75">
      <c r="A380" s="13" t="s">
        <v>228</v>
      </c>
      <c r="B380" s="8" t="s">
        <v>194</v>
      </c>
      <c r="C380" s="8" t="s">
        <v>114</v>
      </c>
      <c r="D380" s="8" t="s">
        <v>112</v>
      </c>
      <c r="E380" s="8" t="s">
        <v>233</v>
      </c>
      <c r="F380" s="9"/>
      <c r="G380" s="20">
        <f>G381</f>
        <v>210.3</v>
      </c>
      <c r="H380" s="20">
        <f>H381</f>
        <v>0</v>
      </c>
      <c r="I380" s="20">
        <f>I381</f>
        <v>210.3</v>
      </c>
      <c r="J380" s="20">
        <f>J381</f>
        <v>0</v>
      </c>
      <c r="K380" s="38"/>
    </row>
    <row r="381" spans="1:11" ht="15.75">
      <c r="A381" s="7" t="s">
        <v>147</v>
      </c>
      <c r="B381" s="8" t="s">
        <v>194</v>
      </c>
      <c r="C381" s="8" t="s">
        <v>114</v>
      </c>
      <c r="D381" s="8" t="s">
        <v>112</v>
      </c>
      <c r="E381" s="8" t="s">
        <v>233</v>
      </c>
      <c r="F381" s="9" t="s">
        <v>148</v>
      </c>
      <c r="G381" s="20">
        <f>450-239.7</f>
        <v>210.3</v>
      </c>
      <c r="H381" s="20"/>
      <c r="I381" s="20">
        <v>210.3</v>
      </c>
      <c r="J381" s="20"/>
      <c r="K381" s="38"/>
    </row>
    <row r="382" spans="1:11" ht="15.75">
      <c r="A382" s="7" t="s">
        <v>14</v>
      </c>
      <c r="B382" s="8" t="s">
        <v>194</v>
      </c>
      <c r="C382" s="8" t="s">
        <v>114</v>
      </c>
      <c r="D382" s="8" t="s">
        <v>112</v>
      </c>
      <c r="E382" s="8" t="s">
        <v>127</v>
      </c>
      <c r="F382" s="9"/>
      <c r="G382" s="20">
        <f>G383</f>
        <v>28166.100000000002</v>
      </c>
      <c r="H382" s="20">
        <f>H383</f>
        <v>0</v>
      </c>
      <c r="I382" s="20">
        <f>I383</f>
        <v>28166.1</v>
      </c>
      <c r="J382" s="20">
        <f>J383</f>
        <v>0</v>
      </c>
      <c r="K382" s="38"/>
    </row>
    <row r="383" spans="1:11" ht="15.75">
      <c r="A383" s="7" t="s">
        <v>147</v>
      </c>
      <c r="B383" s="8" t="s">
        <v>194</v>
      </c>
      <c r="C383" s="8" t="s">
        <v>114</v>
      </c>
      <c r="D383" s="8" t="s">
        <v>112</v>
      </c>
      <c r="E383" s="8" t="s">
        <v>127</v>
      </c>
      <c r="F383" s="9" t="s">
        <v>148</v>
      </c>
      <c r="G383" s="20">
        <f>23726.4+931-931-468+468+1500+239.7+2700</f>
        <v>28166.100000000002</v>
      </c>
      <c r="H383" s="20"/>
      <c r="I383" s="20">
        <v>28166.1</v>
      </c>
      <c r="J383" s="20"/>
      <c r="K383" s="38"/>
    </row>
    <row r="384" spans="1:11" ht="20.25" customHeight="1">
      <c r="A384" s="7" t="s">
        <v>78</v>
      </c>
      <c r="B384" s="8" t="s">
        <v>194</v>
      </c>
      <c r="C384" s="8" t="s">
        <v>114</v>
      </c>
      <c r="D384" s="8" t="s">
        <v>112</v>
      </c>
      <c r="E384" s="8" t="s">
        <v>79</v>
      </c>
      <c r="F384" s="9"/>
      <c r="G384" s="20">
        <f>G385+G388</f>
        <v>51328.1</v>
      </c>
      <c r="H384" s="20">
        <f>H385+H388</f>
        <v>0</v>
      </c>
      <c r="I384" s="20">
        <f>I385+I388</f>
        <v>50080.7</v>
      </c>
      <c r="J384" s="20">
        <f>J385+J388</f>
        <v>0</v>
      </c>
      <c r="K384" s="38"/>
    </row>
    <row r="385" spans="1:11" ht="29.25">
      <c r="A385" s="6" t="s">
        <v>260</v>
      </c>
      <c r="B385" s="8" t="s">
        <v>194</v>
      </c>
      <c r="C385" s="8" t="s">
        <v>114</v>
      </c>
      <c r="D385" s="8" t="s">
        <v>112</v>
      </c>
      <c r="E385" s="8" t="s">
        <v>256</v>
      </c>
      <c r="F385" s="9"/>
      <c r="G385" s="20">
        <f>G387+G386</f>
        <v>50062</v>
      </c>
      <c r="H385" s="20">
        <f>H387+H386</f>
        <v>0</v>
      </c>
      <c r="I385" s="20">
        <f>I387+I386</f>
        <v>48848.7</v>
      </c>
      <c r="J385" s="20">
        <f>J387+J386</f>
        <v>0</v>
      </c>
      <c r="K385" s="38"/>
    </row>
    <row r="386" spans="1:11" ht="15.75">
      <c r="A386" s="7" t="s">
        <v>147</v>
      </c>
      <c r="B386" s="8" t="s">
        <v>194</v>
      </c>
      <c r="C386" s="8" t="s">
        <v>114</v>
      </c>
      <c r="D386" s="8" t="s">
        <v>112</v>
      </c>
      <c r="E386" s="8" t="s">
        <v>256</v>
      </c>
      <c r="F386" s="9" t="s">
        <v>148</v>
      </c>
      <c r="G386" s="20">
        <v>43336.1</v>
      </c>
      <c r="H386" s="20"/>
      <c r="I386" s="20">
        <v>42486.6</v>
      </c>
      <c r="J386" s="20"/>
      <c r="K386" s="38"/>
    </row>
    <row r="387" spans="1:11" ht="17.25" customHeight="1">
      <c r="A387" s="7" t="s">
        <v>144</v>
      </c>
      <c r="B387" s="8" t="s">
        <v>194</v>
      </c>
      <c r="C387" s="8" t="s">
        <v>114</v>
      </c>
      <c r="D387" s="8" t="s">
        <v>112</v>
      </c>
      <c r="E387" s="8" t="s">
        <v>256</v>
      </c>
      <c r="F387" s="9" t="s">
        <v>150</v>
      </c>
      <c r="G387" s="20">
        <v>6725.9</v>
      </c>
      <c r="H387" s="20"/>
      <c r="I387" s="20">
        <v>6362.1</v>
      </c>
      <c r="J387" s="20"/>
      <c r="K387" s="38"/>
    </row>
    <row r="388" spans="1:11" ht="46.5" customHeight="1">
      <c r="A388" s="6" t="s">
        <v>222</v>
      </c>
      <c r="B388" s="8" t="s">
        <v>194</v>
      </c>
      <c r="C388" s="8" t="s">
        <v>114</v>
      </c>
      <c r="D388" s="8" t="s">
        <v>112</v>
      </c>
      <c r="E388" s="8" t="s">
        <v>128</v>
      </c>
      <c r="F388" s="9"/>
      <c r="G388" s="20">
        <f>G389</f>
        <v>1266.1</v>
      </c>
      <c r="H388" s="20">
        <f>H389</f>
        <v>0</v>
      </c>
      <c r="I388" s="20">
        <f>I389</f>
        <v>1232</v>
      </c>
      <c r="J388" s="20">
        <f>J389</f>
        <v>0</v>
      </c>
      <c r="K388" s="38"/>
    </row>
    <row r="389" spans="1:11" ht="17.25" customHeight="1">
      <c r="A389" s="7" t="s">
        <v>86</v>
      </c>
      <c r="B389" s="8" t="s">
        <v>194</v>
      </c>
      <c r="C389" s="8" t="s">
        <v>114</v>
      </c>
      <c r="D389" s="8" t="s">
        <v>112</v>
      </c>
      <c r="E389" s="8" t="s">
        <v>128</v>
      </c>
      <c r="F389" s="9" t="s">
        <v>150</v>
      </c>
      <c r="G389" s="20">
        <f>2431.8+2157.2-3032.1-915.7+624.9</f>
        <v>1266.1</v>
      </c>
      <c r="H389" s="20"/>
      <c r="I389" s="20">
        <v>1232</v>
      </c>
      <c r="J389" s="20"/>
      <c r="K389" s="38"/>
    </row>
    <row r="390" spans="1:11" ht="15.75">
      <c r="A390" s="10" t="s">
        <v>1</v>
      </c>
      <c r="B390" s="11" t="s">
        <v>194</v>
      </c>
      <c r="C390" s="11" t="s">
        <v>113</v>
      </c>
      <c r="D390" s="11"/>
      <c r="E390" s="11"/>
      <c r="F390" s="12"/>
      <c r="G390" s="19">
        <f>G391+G395</f>
        <v>13252.5</v>
      </c>
      <c r="H390" s="19">
        <f>H391+H395</f>
        <v>12170.5</v>
      </c>
      <c r="I390" s="19">
        <f>I391+I395</f>
        <v>11449.1</v>
      </c>
      <c r="J390" s="19">
        <f>J391+J395</f>
        <v>10650.6</v>
      </c>
      <c r="K390" s="37">
        <f>I390/G390*100</f>
        <v>86.39200150914922</v>
      </c>
    </row>
    <row r="391" spans="1:11" ht="15.75">
      <c r="A391" s="10" t="s">
        <v>161</v>
      </c>
      <c r="B391" s="11" t="s">
        <v>194</v>
      </c>
      <c r="C391" s="11" t="s">
        <v>113</v>
      </c>
      <c r="D391" s="11" t="s">
        <v>108</v>
      </c>
      <c r="E391" s="11"/>
      <c r="F391" s="12"/>
      <c r="G391" s="19">
        <f aca="true" t="shared" si="33" ref="G391:J393">G392</f>
        <v>12170.5</v>
      </c>
      <c r="H391" s="19">
        <f t="shared" si="33"/>
        <v>12170.5</v>
      </c>
      <c r="I391" s="19">
        <f t="shared" si="33"/>
        <v>10650.6</v>
      </c>
      <c r="J391" s="19">
        <f t="shared" si="33"/>
        <v>10650.6</v>
      </c>
      <c r="K391" s="37">
        <f>I391/G391*100</f>
        <v>87.51160593237748</v>
      </c>
    </row>
    <row r="392" spans="1:11" ht="15.75">
      <c r="A392" s="7" t="s">
        <v>74</v>
      </c>
      <c r="B392" s="8" t="s">
        <v>194</v>
      </c>
      <c r="C392" s="8" t="s">
        <v>113</v>
      </c>
      <c r="D392" s="8" t="s">
        <v>108</v>
      </c>
      <c r="E392" s="8" t="s">
        <v>58</v>
      </c>
      <c r="F392" s="9"/>
      <c r="G392" s="20">
        <f t="shared" si="33"/>
        <v>12170.5</v>
      </c>
      <c r="H392" s="20">
        <f t="shared" si="33"/>
        <v>12170.5</v>
      </c>
      <c r="I392" s="20">
        <f t="shared" si="33"/>
        <v>10650.6</v>
      </c>
      <c r="J392" s="20">
        <f t="shared" si="33"/>
        <v>10650.6</v>
      </c>
      <c r="K392" s="38"/>
    </row>
    <row r="393" spans="1:11" ht="62.25" customHeight="1">
      <c r="A393" s="6" t="s">
        <v>409</v>
      </c>
      <c r="B393" s="8" t="s">
        <v>194</v>
      </c>
      <c r="C393" s="8" t="s">
        <v>113</v>
      </c>
      <c r="D393" s="8" t="s">
        <v>108</v>
      </c>
      <c r="E393" s="8" t="s">
        <v>408</v>
      </c>
      <c r="F393" s="9"/>
      <c r="G393" s="20">
        <f t="shared" si="33"/>
        <v>12170.5</v>
      </c>
      <c r="H393" s="20">
        <f t="shared" si="33"/>
        <v>12170.5</v>
      </c>
      <c r="I393" s="20">
        <f t="shared" si="33"/>
        <v>10650.6</v>
      </c>
      <c r="J393" s="20">
        <f t="shared" si="33"/>
        <v>10650.6</v>
      </c>
      <c r="K393" s="38"/>
    </row>
    <row r="394" spans="1:43" s="3" customFormat="1" ht="32.25" customHeight="1">
      <c r="A394" s="6" t="s">
        <v>405</v>
      </c>
      <c r="B394" s="8" t="s">
        <v>194</v>
      </c>
      <c r="C394" s="8" t="s">
        <v>113</v>
      </c>
      <c r="D394" s="8" t="s">
        <v>108</v>
      </c>
      <c r="E394" s="8" t="s">
        <v>408</v>
      </c>
      <c r="F394" s="9" t="s">
        <v>404</v>
      </c>
      <c r="G394" s="20">
        <f>12110+60.5</f>
        <v>12170.5</v>
      </c>
      <c r="H394" s="20">
        <f>12110+60.5</f>
        <v>12170.5</v>
      </c>
      <c r="I394" s="20">
        <v>10650.6</v>
      </c>
      <c r="J394" s="20">
        <v>10650.6</v>
      </c>
      <c r="K394" s="38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1:43" s="3" customFormat="1" ht="15.75">
      <c r="A395" s="10" t="s">
        <v>77</v>
      </c>
      <c r="B395" s="11" t="s">
        <v>194</v>
      </c>
      <c r="C395" s="11" t="s">
        <v>113</v>
      </c>
      <c r="D395" s="11" t="s">
        <v>122</v>
      </c>
      <c r="E395" s="8"/>
      <c r="F395" s="9"/>
      <c r="G395" s="20">
        <f>G396</f>
        <v>1082</v>
      </c>
      <c r="H395" s="20">
        <f aca="true" t="shared" si="34" ref="H395:J396">H396</f>
        <v>0</v>
      </c>
      <c r="I395" s="20">
        <f t="shared" si="34"/>
        <v>798.5</v>
      </c>
      <c r="J395" s="20">
        <f t="shared" si="34"/>
        <v>0</v>
      </c>
      <c r="K395" s="38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1:43" s="3" customFormat="1" ht="15.75">
      <c r="A396" s="7" t="s">
        <v>78</v>
      </c>
      <c r="B396" s="8" t="s">
        <v>194</v>
      </c>
      <c r="C396" s="8" t="s">
        <v>113</v>
      </c>
      <c r="D396" s="8" t="s">
        <v>122</v>
      </c>
      <c r="E396" s="8" t="s">
        <v>79</v>
      </c>
      <c r="F396" s="9"/>
      <c r="G396" s="20">
        <f>G397</f>
        <v>1082</v>
      </c>
      <c r="H396" s="20">
        <f t="shared" si="34"/>
        <v>0</v>
      </c>
      <c r="I396" s="20">
        <f t="shared" si="34"/>
        <v>798.5</v>
      </c>
      <c r="J396" s="20">
        <f t="shared" si="34"/>
        <v>0</v>
      </c>
      <c r="K396" s="38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1:43" s="3" customFormat="1" ht="43.5">
      <c r="A397" s="15" t="s">
        <v>240</v>
      </c>
      <c r="B397" s="8" t="s">
        <v>194</v>
      </c>
      <c r="C397" s="8" t="s">
        <v>113</v>
      </c>
      <c r="D397" s="8" t="s">
        <v>122</v>
      </c>
      <c r="E397" s="8" t="s">
        <v>143</v>
      </c>
      <c r="F397" s="9"/>
      <c r="G397" s="20">
        <f>G399+G398</f>
        <v>1082</v>
      </c>
      <c r="H397" s="20">
        <f>H399+H398</f>
        <v>0</v>
      </c>
      <c r="I397" s="20">
        <f>I399+I398</f>
        <v>798.5</v>
      </c>
      <c r="J397" s="20">
        <f>J399+J398</f>
        <v>0</v>
      </c>
      <c r="K397" s="38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1:43" s="3" customFormat="1" ht="15.75">
      <c r="A398" s="7" t="s">
        <v>147</v>
      </c>
      <c r="B398" s="8" t="s">
        <v>194</v>
      </c>
      <c r="C398" s="8" t="s">
        <v>113</v>
      </c>
      <c r="D398" s="8" t="s">
        <v>122</v>
      </c>
      <c r="E398" s="8" t="s">
        <v>143</v>
      </c>
      <c r="F398" s="9" t="s">
        <v>148</v>
      </c>
      <c r="G398" s="20">
        <v>300</v>
      </c>
      <c r="H398" s="20"/>
      <c r="I398" s="20">
        <v>240.9</v>
      </c>
      <c r="J398" s="20"/>
      <c r="K398" s="3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1:43" s="3" customFormat="1" ht="15.75">
      <c r="A399" s="7" t="s">
        <v>86</v>
      </c>
      <c r="B399" s="8" t="s">
        <v>194</v>
      </c>
      <c r="C399" s="8" t="s">
        <v>113</v>
      </c>
      <c r="D399" s="8" t="s">
        <v>122</v>
      </c>
      <c r="E399" s="8" t="s">
        <v>143</v>
      </c>
      <c r="F399" s="9" t="s">
        <v>150</v>
      </c>
      <c r="G399" s="20">
        <f>300+712-300+70</f>
        <v>782</v>
      </c>
      <c r="H399" s="20"/>
      <c r="I399" s="20">
        <v>557.6</v>
      </c>
      <c r="J399" s="20"/>
      <c r="K399" s="38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1:43" s="3" customFormat="1" ht="60.75" customHeight="1">
      <c r="A400" s="43" t="s">
        <v>267</v>
      </c>
      <c r="B400" s="11" t="s">
        <v>195</v>
      </c>
      <c r="C400" s="11"/>
      <c r="D400" s="11"/>
      <c r="E400" s="11"/>
      <c r="F400" s="12"/>
      <c r="G400" s="19">
        <f>G401+G428+G482</f>
        <v>145987.3</v>
      </c>
      <c r="H400" s="19">
        <f>H401+H428+H482</f>
        <v>5461.3</v>
      </c>
      <c r="I400" s="19">
        <f>I401+I428+I482</f>
        <v>142410.1</v>
      </c>
      <c r="J400" s="19">
        <f>J401+J428+J482</f>
        <v>5436.6</v>
      </c>
      <c r="K400" s="37">
        <f>I400/G400*100</f>
        <v>97.54964986680349</v>
      </c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1:43" s="3" customFormat="1" ht="15.75">
      <c r="A401" s="10" t="s">
        <v>2</v>
      </c>
      <c r="B401" s="11" t="s">
        <v>195</v>
      </c>
      <c r="C401" s="11" t="s">
        <v>114</v>
      </c>
      <c r="D401" s="11"/>
      <c r="E401" s="11"/>
      <c r="F401" s="12"/>
      <c r="G401" s="19">
        <f>G402+G413</f>
        <v>37861.1</v>
      </c>
      <c r="H401" s="19">
        <f>H402+H413</f>
        <v>4384</v>
      </c>
      <c r="I401" s="19">
        <f>I402+I413</f>
        <v>36964.600000000006</v>
      </c>
      <c r="J401" s="19">
        <f>J402+J413</f>
        <v>4384</v>
      </c>
      <c r="K401" s="37">
        <f>I401/G401*100</f>
        <v>97.63213430143341</v>
      </c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1:43" s="3" customFormat="1" ht="15.75">
      <c r="A402" s="10" t="s">
        <v>5</v>
      </c>
      <c r="B402" s="11" t="s">
        <v>195</v>
      </c>
      <c r="C402" s="11" t="s">
        <v>114</v>
      </c>
      <c r="D402" s="11" t="s">
        <v>107</v>
      </c>
      <c r="E402" s="11"/>
      <c r="F402" s="12"/>
      <c r="G402" s="19">
        <f>G403+G409</f>
        <v>29818.3</v>
      </c>
      <c r="H402" s="19">
        <f>H403+H409</f>
        <v>210</v>
      </c>
      <c r="I402" s="19">
        <f>I403+I409</f>
        <v>29326.600000000002</v>
      </c>
      <c r="J402" s="19">
        <f>J403+J409</f>
        <v>210</v>
      </c>
      <c r="K402" s="37">
        <f>I402/G402*100</f>
        <v>98.35101263318164</v>
      </c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1:43" s="3" customFormat="1" ht="15.75">
      <c r="A403" s="7" t="s">
        <v>17</v>
      </c>
      <c r="B403" s="8" t="s">
        <v>195</v>
      </c>
      <c r="C403" s="8" t="s">
        <v>114</v>
      </c>
      <c r="D403" s="8" t="s">
        <v>107</v>
      </c>
      <c r="E403" s="8" t="s">
        <v>18</v>
      </c>
      <c r="F403" s="9"/>
      <c r="G403" s="20">
        <f>G404+G406</f>
        <v>29608.3</v>
      </c>
      <c r="H403" s="20">
        <f>H404+H406</f>
        <v>0</v>
      </c>
      <c r="I403" s="20">
        <f>I404+I406</f>
        <v>29116.600000000002</v>
      </c>
      <c r="J403" s="20">
        <f>J404+J406</f>
        <v>0</v>
      </c>
      <c r="K403" s="38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1:43" s="3" customFormat="1" ht="15.75">
      <c r="A404" s="13" t="s">
        <v>228</v>
      </c>
      <c r="B404" s="8" t="s">
        <v>195</v>
      </c>
      <c r="C404" s="8" t="s">
        <v>114</v>
      </c>
      <c r="D404" s="8" t="s">
        <v>107</v>
      </c>
      <c r="E404" s="8" t="s">
        <v>232</v>
      </c>
      <c r="F404" s="9"/>
      <c r="G404" s="20">
        <f>G405</f>
        <v>307.8</v>
      </c>
      <c r="H404" s="20">
        <f>H405</f>
        <v>0</v>
      </c>
      <c r="I404" s="20">
        <f>I405</f>
        <v>307.8</v>
      </c>
      <c r="J404" s="20">
        <f>J405</f>
        <v>0</v>
      </c>
      <c r="K404" s="38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1:43" s="3" customFormat="1" ht="15.75">
      <c r="A405" s="7" t="s">
        <v>147</v>
      </c>
      <c r="B405" s="8" t="s">
        <v>195</v>
      </c>
      <c r="C405" s="8" t="s">
        <v>114</v>
      </c>
      <c r="D405" s="8" t="s">
        <v>107</v>
      </c>
      <c r="E405" s="8" t="s">
        <v>232</v>
      </c>
      <c r="F405" s="9" t="s">
        <v>148</v>
      </c>
      <c r="G405" s="20">
        <f>302.5+4.1+1.2</f>
        <v>307.8</v>
      </c>
      <c r="H405" s="20"/>
      <c r="I405" s="20">
        <v>307.8</v>
      </c>
      <c r="J405" s="20"/>
      <c r="K405" s="38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1:11" ht="15.75">
      <c r="A406" s="7" t="s">
        <v>14</v>
      </c>
      <c r="B406" s="8" t="s">
        <v>195</v>
      </c>
      <c r="C406" s="8" t="s">
        <v>114</v>
      </c>
      <c r="D406" s="8" t="s">
        <v>107</v>
      </c>
      <c r="E406" s="8" t="s">
        <v>126</v>
      </c>
      <c r="F406" s="9"/>
      <c r="G406" s="20">
        <f>G408+G407</f>
        <v>29300.5</v>
      </c>
      <c r="H406" s="20">
        <f>H408+H407</f>
        <v>0</v>
      </c>
      <c r="I406" s="20">
        <f>I408+I407</f>
        <v>28808.800000000003</v>
      </c>
      <c r="J406" s="20">
        <f>J408+J407</f>
        <v>0</v>
      </c>
      <c r="K406" s="38"/>
    </row>
    <row r="407" spans="1:11" ht="15.75">
      <c r="A407" s="7" t="s">
        <v>95</v>
      </c>
      <c r="B407" s="8" t="s">
        <v>195</v>
      </c>
      <c r="C407" s="8" t="s">
        <v>114</v>
      </c>
      <c r="D407" s="8" t="s">
        <v>107</v>
      </c>
      <c r="E407" s="8" t="s">
        <v>126</v>
      </c>
      <c r="F407" s="9" t="s">
        <v>52</v>
      </c>
      <c r="G407" s="20">
        <f>2.9</f>
        <v>2.9</v>
      </c>
      <c r="H407" s="20"/>
      <c r="I407" s="20">
        <v>2.9</v>
      </c>
      <c r="J407" s="20"/>
      <c r="K407" s="38"/>
    </row>
    <row r="408" spans="1:11" ht="15.75">
      <c r="A408" s="7" t="s">
        <v>147</v>
      </c>
      <c r="B408" s="8" t="s">
        <v>195</v>
      </c>
      <c r="C408" s="8" t="s">
        <v>114</v>
      </c>
      <c r="D408" s="8" t="s">
        <v>107</v>
      </c>
      <c r="E408" s="8" t="s">
        <v>126</v>
      </c>
      <c r="F408" s="9" t="s">
        <v>148</v>
      </c>
      <c r="G408" s="20">
        <v>29297.6</v>
      </c>
      <c r="H408" s="20"/>
      <c r="I408" s="20">
        <v>28805.9</v>
      </c>
      <c r="J408" s="20"/>
      <c r="K408" s="38"/>
    </row>
    <row r="409" spans="1:11" ht="15.75">
      <c r="A409" s="7" t="s">
        <v>74</v>
      </c>
      <c r="B409" s="8" t="s">
        <v>195</v>
      </c>
      <c r="C409" s="8" t="s">
        <v>114</v>
      </c>
      <c r="D409" s="8" t="s">
        <v>107</v>
      </c>
      <c r="E409" s="8" t="s">
        <v>58</v>
      </c>
      <c r="F409" s="9"/>
      <c r="G409" s="20">
        <f aca="true" t="shared" si="35" ref="G409:J411">G410</f>
        <v>210</v>
      </c>
      <c r="H409" s="20">
        <f t="shared" si="35"/>
        <v>210</v>
      </c>
      <c r="I409" s="20">
        <f t="shared" si="35"/>
        <v>210</v>
      </c>
      <c r="J409" s="20">
        <f t="shared" si="35"/>
        <v>210</v>
      </c>
      <c r="K409" s="38"/>
    </row>
    <row r="410" spans="1:11" ht="72">
      <c r="A410" s="6" t="s">
        <v>503</v>
      </c>
      <c r="B410" s="8" t="s">
        <v>195</v>
      </c>
      <c r="C410" s="8" t="s">
        <v>114</v>
      </c>
      <c r="D410" s="8" t="s">
        <v>107</v>
      </c>
      <c r="E410" s="8" t="s">
        <v>485</v>
      </c>
      <c r="F410" s="9"/>
      <c r="G410" s="20">
        <f t="shared" si="35"/>
        <v>210</v>
      </c>
      <c r="H410" s="20">
        <f t="shared" si="35"/>
        <v>210</v>
      </c>
      <c r="I410" s="20">
        <f t="shared" si="35"/>
        <v>210</v>
      </c>
      <c r="J410" s="20">
        <f t="shared" si="35"/>
        <v>210</v>
      </c>
      <c r="K410" s="38"/>
    </row>
    <row r="411" spans="1:11" ht="29.25">
      <c r="A411" s="6" t="s">
        <v>487</v>
      </c>
      <c r="B411" s="8" t="s">
        <v>195</v>
      </c>
      <c r="C411" s="8" t="s">
        <v>114</v>
      </c>
      <c r="D411" s="8" t="s">
        <v>107</v>
      </c>
      <c r="E411" s="8" t="s">
        <v>486</v>
      </c>
      <c r="F411" s="9"/>
      <c r="G411" s="20">
        <f t="shared" si="35"/>
        <v>210</v>
      </c>
      <c r="H411" s="20">
        <f t="shared" si="35"/>
        <v>210</v>
      </c>
      <c r="I411" s="20">
        <f t="shared" si="35"/>
        <v>210</v>
      </c>
      <c r="J411" s="20">
        <f t="shared" si="35"/>
        <v>210</v>
      </c>
      <c r="K411" s="38"/>
    </row>
    <row r="412" spans="1:11" ht="15.75">
      <c r="A412" s="7" t="s">
        <v>307</v>
      </c>
      <c r="B412" s="8" t="s">
        <v>195</v>
      </c>
      <c r="C412" s="8" t="s">
        <v>114</v>
      </c>
      <c r="D412" s="8" t="s">
        <v>107</v>
      </c>
      <c r="E412" s="8" t="s">
        <v>486</v>
      </c>
      <c r="F412" s="9" t="s">
        <v>304</v>
      </c>
      <c r="G412" s="20">
        <v>210</v>
      </c>
      <c r="H412" s="20">
        <v>210</v>
      </c>
      <c r="I412" s="20">
        <v>210</v>
      </c>
      <c r="J412" s="20">
        <v>210</v>
      </c>
      <c r="K412" s="38"/>
    </row>
    <row r="413" spans="1:11" ht="15.75">
      <c r="A413" s="10" t="s">
        <v>16</v>
      </c>
      <c r="B413" s="11" t="s">
        <v>195</v>
      </c>
      <c r="C413" s="11" t="s">
        <v>114</v>
      </c>
      <c r="D413" s="11" t="s">
        <v>114</v>
      </c>
      <c r="E413" s="11"/>
      <c r="F413" s="12"/>
      <c r="G413" s="19">
        <f>G414+G421</f>
        <v>8042.8</v>
      </c>
      <c r="H413" s="19">
        <f>H414+H421</f>
        <v>4174</v>
      </c>
      <c r="I413" s="19">
        <f>I414+I421</f>
        <v>7638</v>
      </c>
      <c r="J413" s="19">
        <f>J414+J421</f>
        <v>4174</v>
      </c>
      <c r="K413" s="37">
        <f>I413/G413*100</f>
        <v>94.96692694086636</v>
      </c>
    </row>
    <row r="414" spans="1:11" ht="15.75">
      <c r="A414" s="10" t="s">
        <v>55</v>
      </c>
      <c r="B414" s="11" t="s">
        <v>195</v>
      </c>
      <c r="C414" s="11" t="s">
        <v>114</v>
      </c>
      <c r="D414" s="11" t="s">
        <v>114</v>
      </c>
      <c r="E414" s="11" t="s">
        <v>56</v>
      </c>
      <c r="F414" s="12"/>
      <c r="G414" s="19">
        <f>G419+G417+G415</f>
        <v>5933.8</v>
      </c>
      <c r="H414" s="19">
        <f>H419+H417+H415</f>
        <v>4174</v>
      </c>
      <c r="I414" s="19">
        <f>I419+I417+I415</f>
        <v>5811.3</v>
      </c>
      <c r="J414" s="19">
        <f>J419+J417+J415</f>
        <v>4174</v>
      </c>
      <c r="K414" s="37">
        <f>I414/G414*100</f>
        <v>97.93555563045602</v>
      </c>
    </row>
    <row r="415" spans="1:11" ht="43.5">
      <c r="A415" s="6" t="s">
        <v>417</v>
      </c>
      <c r="B415" s="8" t="s">
        <v>195</v>
      </c>
      <c r="C415" s="8" t="s">
        <v>114</v>
      </c>
      <c r="D415" s="8" t="s">
        <v>114</v>
      </c>
      <c r="E415" s="8" t="s">
        <v>385</v>
      </c>
      <c r="F415" s="12"/>
      <c r="G415" s="20">
        <f>G416</f>
        <v>4174</v>
      </c>
      <c r="H415" s="20">
        <f>H416</f>
        <v>4174</v>
      </c>
      <c r="I415" s="20">
        <f>I416</f>
        <v>4174</v>
      </c>
      <c r="J415" s="20">
        <f>J416</f>
        <v>4174</v>
      </c>
      <c r="K415" s="38"/>
    </row>
    <row r="416" spans="1:11" ht="43.5">
      <c r="A416" s="6" t="s">
        <v>418</v>
      </c>
      <c r="B416" s="8" t="s">
        <v>195</v>
      </c>
      <c r="C416" s="8" t="s">
        <v>114</v>
      </c>
      <c r="D416" s="8" t="s">
        <v>114</v>
      </c>
      <c r="E416" s="8" t="s">
        <v>385</v>
      </c>
      <c r="F416" s="9" t="s">
        <v>386</v>
      </c>
      <c r="G416" s="20">
        <v>4174</v>
      </c>
      <c r="H416" s="20">
        <v>4174</v>
      </c>
      <c r="I416" s="20">
        <v>4174</v>
      </c>
      <c r="J416" s="20">
        <v>4174</v>
      </c>
      <c r="K416" s="38"/>
    </row>
    <row r="417" spans="1:11" ht="15.75">
      <c r="A417" s="13" t="s">
        <v>228</v>
      </c>
      <c r="B417" s="8" t="s">
        <v>195</v>
      </c>
      <c r="C417" s="8" t="s">
        <v>114</v>
      </c>
      <c r="D417" s="8" t="s">
        <v>114</v>
      </c>
      <c r="E417" s="8" t="s">
        <v>239</v>
      </c>
      <c r="F417" s="9"/>
      <c r="G417" s="20">
        <f>G418</f>
        <v>15</v>
      </c>
      <c r="H417" s="20">
        <f>H418</f>
        <v>0</v>
      </c>
      <c r="I417" s="20">
        <f>I418</f>
        <v>15</v>
      </c>
      <c r="J417" s="20">
        <f>J418</f>
        <v>0</v>
      </c>
      <c r="K417" s="38"/>
    </row>
    <row r="418" spans="1:11" ht="15.75">
      <c r="A418" s="7" t="s">
        <v>147</v>
      </c>
      <c r="B418" s="8" t="s">
        <v>195</v>
      </c>
      <c r="C418" s="8" t="s">
        <v>114</v>
      </c>
      <c r="D418" s="8" t="s">
        <v>114</v>
      </c>
      <c r="E418" s="8" t="s">
        <v>239</v>
      </c>
      <c r="F418" s="9" t="s">
        <v>148</v>
      </c>
      <c r="G418" s="20">
        <f>4.3+0.6+10.1</f>
        <v>15</v>
      </c>
      <c r="H418" s="20"/>
      <c r="I418" s="20">
        <v>15</v>
      </c>
      <c r="J418" s="20"/>
      <c r="K418" s="38"/>
    </row>
    <row r="419" spans="1:11" ht="15.75">
      <c r="A419" s="7" t="s">
        <v>14</v>
      </c>
      <c r="B419" s="8" t="s">
        <v>195</v>
      </c>
      <c r="C419" s="8" t="s">
        <v>114</v>
      </c>
      <c r="D419" s="8" t="s">
        <v>114</v>
      </c>
      <c r="E419" s="8" t="s">
        <v>176</v>
      </c>
      <c r="F419" s="9"/>
      <c r="G419" s="20">
        <f>G420</f>
        <v>1744.8</v>
      </c>
      <c r="H419" s="20">
        <f>H420</f>
        <v>0</v>
      </c>
      <c r="I419" s="20">
        <f>I420</f>
        <v>1622.3</v>
      </c>
      <c r="J419" s="20">
        <f>J420</f>
        <v>0</v>
      </c>
      <c r="K419" s="38"/>
    </row>
    <row r="420" spans="1:11" ht="15.75">
      <c r="A420" s="7" t="s">
        <v>147</v>
      </c>
      <c r="B420" s="8" t="s">
        <v>195</v>
      </c>
      <c r="C420" s="8" t="s">
        <v>114</v>
      </c>
      <c r="D420" s="8" t="s">
        <v>114</v>
      </c>
      <c r="E420" s="8" t="s">
        <v>176</v>
      </c>
      <c r="F420" s="9" t="s">
        <v>148</v>
      </c>
      <c r="G420" s="20">
        <v>1744.8</v>
      </c>
      <c r="H420" s="20"/>
      <c r="I420" s="20">
        <v>1622.3</v>
      </c>
      <c r="J420" s="20"/>
      <c r="K420" s="38"/>
    </row>
    <row r="421" spans="1:11" ht="15.75">
      <c r="A421" s="10" t="s">
        <v>78</v>
      </c>
      <c r="B421" s="11" t="s">
        <v>195</v>
      </c>
      <c r="C421" s="11" t="s">
        <v>114</v>
      </c>
      <c r="D421" s="11" t="s">
        <v>114</v>
      </c>
      <c r="E421" s="11" t="s">
        <v>79</v>
      </c>
      <c r="F421" s="12"/>
      <c r="G421" s="19">
        <f>G422+G425</f>
        <v>2109</v>
      </c>
      <c r="H421" s="19">
        <f>H422+H425</f>
        <v>0</v>
      </c>
      <c r="I421" s="19">
        <f>I422+I425</f>
        <v>1826.7</v>
      </c>
      <c r="J421" s="19">
        <f>J422+J425</f>
        <v>0</v>
      </c>
      <c r="K421" s="37">
        <f>I421/G421*100</f>
        <v>86.6145092460882</v>
      </c>
    </row>
    <row r="422" spans="1:11" ht="29.25">
      <c r="A422" s="42" t="s">
        <v>208</v>
      </c>
      <c r="B422" s="8" t="s">
        <v>195</v>
      </c>
      <c r="C422" s="8" t="s">
        <v>114</v>
      </c>
      <c r="D422" s="8" t="s">
        <v>114</v>
      </c>
      <c r="E422" s="8" t="s">
        <v>255</v>
      </c>
      <c r="F422" s="9"/>
      <c r="G422" s="20">
        <f>G423+G424</f>
        <v>1608.9999999999998</v>
      </c>
      <c r="H422" s="20">
        <f>H423+H424</f>
        <v>0</v>
      </c>
      <c r="I422" s="20">
        <f>I423+I424</f>
        <v>1326.7</v>
      </c>
      <c r="J422" s="20">
        <f>J423+J424</f>
        <v>0</v>
      </c>
      <c r="K422" s="38"/>
    </row>
    <row r="423" spans="1:11" ht="15.75">
      <c r="A423" s="7" t="s">
        <v>147</v>
      </c>
      <c r="B423" s="8" t="s">
        <v>195</v>
      </c>
      <c r="C423" s="8" t="s">
        <v>114</v>
      </c>
      <c r="D423" s="8" t="s">
        <v>114</v>
      </c>
      <c r="E423" s="8" t="s">
        <v>255</v>
      </c>
      <c r="F423" s="9" t="s">
        <v>148</v>
      </c>
      <c r="G423" s="20">
        <v>1240.6</v>
      </c>
      <c r="H423" s="20"/>
      <c r="I423" s="20">
        <v>958.5</v>
      </c>
      <c r="J423" s="20"/>
      <c r="K423" s="38"/>
    </row>
    <row r="424" spans="1:11" ht="15.75">
      <c r="A424" s="7" t="s">
        <v>86</v>
      </c>
      <c r="B424" s="8" t="s">
        <v>195</v>
      </c>
      <c r="C424" s="8" t="s">
        <v>114</v>
      </c>
      <c r="D424" s="8" t="s">
        <v>114</v>
      </c>
      <c r="E424" s="8" t="s">
        <v>255</v>
      </c>
      <c r="F424" s="9" t="s">
        <v>150</v>
      </c>
      <c r="G424" s="20">
        <f>8644.4-7692.7+500-1083.3</f>
        <v>368.39999999999986</v>
      </c>
      <c r="H424" s="20"/>
      <c r="I424" s="20">
        <v>368.2</v>
      </c>
      <c r="J424" s="20"/>
      <c r="K424" s="38"/>
    </row>
    <row r="425" spans="1:11" ht="29.25">
      <c r="A425" s="6" t="s">
        <v>260</v>
      </c>
      <c r="B425" s="8" t="s">
        <v>195</v>
      </c>
      <c r="C425" s="8" t="s">
        <v>114</v>
      </c>
      <c r="D425" s="8" t="s">
        <v>114</v>
      </c>
      <c r="E425" s="8" t="s">
        <v>256</v>
      </c>
      <c r="F425" s="9"/>
      <c r="G425" s="20">
        <f>G426+G427</f>
        <v>500</v>
      </c>
      <c r="H425" s="20">
        <f>H426+H427</f>
        <v>0</v>
      </c>
      <c r="I425" s="20">
        <f>I426+I427</f>
        <v>500</v>
      </c>
      <c r="J425" s="20">
        <f>J426+J427</f>
        <v>0</v>
      </c>
      <c r="K425" s="38"/>
    </row>
    <row r="426" spans="1:11" ht="15.75">
      <c r="A426" s="7" t="s">
        <v>147</v>
      </c>
      <c r="B426" s="8" t="s">
        <v>195</v>
      </c>
      <c r="C426" s="8" t="s">
        <v>114</v>
      </c>
      <c r="D426" s="8" t="s">
        <v>114</v>
      </c>
      <c r="E426" s="8" t="s">
        <v>256</v>
      </c>
      <c r="F426" s="9" t="s">
        <v>148</v>
      </c>
      <c r="G426" s="20">
        <f>500-189.9+17.9</f>
        <v>328</v>
      </c>
      <c r="H426" s="20"/>
      <c r="I426" s="20">
        <v>328</v>
      </c>
      <c r="J426" s="20"/>
      <c r="K426" s="38"/>
    </row>
    <row r="427" spans="1:11" ht="15.75">
      <c r="A427" s="7" t="s">
        <v>144</v>
      </c>
      <c r="B427" s="8" t="s">
        <v>195</v>
      </c>
      <c r="C427" s="8" t="s">
        <v>114</v>
      </c>
      <c r="D427" s="8" t="s">
        <v>114</v>
      </c>
      <c r="E427" s="8" t="s">
        <v>256</v>
      </c>
      <c r="F427" s="9" t="s">
        <v>150</v>
      </c>
      <c r="G427" s="20">
        <f>189.9-17.9</f>
        <v>172</v>
      </c>
      <c r="H427" s="20"/>
      <c r="I427" s="20">
        <v>172</v>
      </c>
      <c r="J427" s="20"/>
      <c r="K427" s="38"/>
    </row>
    <row r="428" spans="1:11" ht="15.75">
      <c r="A428" s="10" t="s">
        <v>215</v>
      </c>
      <c r="B428" s="11" t="s">
        <v>195</v>
      </c>
      <c r="C428" s="11" t="s">
        <v>115</v>
      </c>
      <c r="D428" s="11"/>
      <c r="E428" s="11"/>
      <c r="F428" s="12"/>
      <c r="G428" s="19">
        <f>G429+G465</f>
        <v>91098.09999999999</v>
      </c>
      <c r="H428" s="19">
        <f>H429+H465</f>
        <v>1077.3</v>
      </c>
      <c r="I428" s="19">
        <f>I429+I465</f>
        <v>89200.40000000001</v>
      </c>
      <c r="J428" s="19">
        <f>J429+J465</f>
        <v>1052.6</v>
      </c>
      <c r="K428" s="37">
        <f>I428/G428*100</f>
        <v>97.91686105418226</v>
      </c>
    </row>
    <row r="429" spans="1:11" ht="15.75">
      <c r="A429" s="10" t="s">
        <v>20</v>
      </c>
      <c r="B429" s="11" t="s">
        <v>195</v>
      </c>
      <c r="C429" s="11" t="s">
        <v>115</v>
      </c>
      <c r="D429" s="11" t="s">
        <v>106</v>
      </c>
      <c r="E429" s="11"/>
      <c r="F429" s="12"/>
      <c r="G429" s="19">
        <f>G430+G441+G448+G456+G461</f>
        <v>69353.9</v>
      </c>
      <c r="H429" s="19">
        <f>H430+H441+H448+H456+H461</f>
        <v>1077.3</v>
      </c>
      <c r="I429" s="19">
        <f>I430+I441+I448+I456+I461</f>
        <v>68411.20000000001</v>
      </c>
      <c r="J429" s="19">
        <f>J430+J441+J448+J456+J461</f>
        <v>1052.6</v>
      </c>
      <c r="K429" s="37">
        <f>I429/G429*100</f>
        <v>98.64073974210538</v>
      </c>
    </row>
    <row r="430" spans="1:11" ht="29.25">
      <c r="A430" s="6" t="s">
        <v>223</v>
      </c>
      <c r="B430" s="8" t="s">
        <v>195</v>
      </c>
      <c r="C430" s="8" t="s">
        <v>115</v>
      </c>
      <c r="D430" s="8" t="s">
        <v>106</v>
      </c>
      <c r="E430" s="8" t="s">
        <v>21</v>
      </c>
      <c r="F430" s="9"/>
      <c r="G430" s="20">
        <f>G436+G438+G431+G434</f>
        <v>42779.600000000006</v>
      </c>
      <c r="H430" s="20">
        <f>H436+H438+H431+H434</f>
        <v>831.3</v>
      </c>
      <c r="I430" s="20">
        <f>I436+I438+I431+I434</f>
        <v>42054.3</v>
      </c>
      <c r="J430" s="20">
        <f>J436+J438+J431+J434</f>
        <v>831.3</v>
      </c>
      <c r="K430" s="38"/>
    </row>
    <row r="431" spans="1:11" ht="29.25">
      <c r="A431" s="6" t="s">
        <v>455</v>
      </c>
      <c r="B431" s="8" t="s">
        <v>195</v>
      </c>
      <c r="C431" s="8" t="s">
        <v>115</v>
      </c>
      <c r="D431" s="8" t="s">
        <v>106</v>
      </c>
      <c r="E431" s="8" t="s">
        <v>214</v>
      </c>
      <c r="F431" s="9"/>
      <c r="G431" s="20">
        <f aca="true" t="shared" si="36" ref="G431:J432">G432</f>
        <v>232.3</v>
      </c>
      <c r="H431" s="20">
        <f t="shared" si="36"/>
        <v>232.3</v>
      </c>
      <c r="I431" s="20">
        <f t="shared" si="36"/>
        <v>232.3</v>
      </c>
      <c r="J431" s="20">
        <f t="shared" si="36"/>
        <v>232.3</v>
      </c>
      <c r="K431" s="38"/>
    </row>
    <row r="432" spans="1:11" ht="15.75">
      <c r="A432" s="6" t="s">
        <v>456</v>
      </c>
      <c r="B432" s="8" t="s">
        <v>195</v>
      </c>
      <c r="C432" s="8" t="s">
        <v>115</v>
      </c>
      <c r="D432" s="8" t="s">
        <v>106</v>
      </c>
      <c r="E432" s="8" t="s">
        <v>214</v>
      </c>
      <c r="F432" s="9"/>
      <c r="G432" s="20">
        <f t="shared" si="36"/>
        <v>232.3</v>
      </c>
      <c r="H432" s="20">
        <f t="shared" si="36"/>
        <v>232.3</v>
      </c>
      <c r="I432" s="20">
        <f t="shared" si="36"/>
        <v>232.3</v>
      </c>
      <c r="J432" s="20">
        <f t="shared" si="36"/>
        <v>232.3</v>
      </c>
      <c r="K432" s="38"/>
    </row>
    <row r="433" spans="1:11" ht="15.75">
      <c r="A433" s="7" t="s">
        <v>354</v>
      </c>
      <c r="B433" s="8" t="s">
        <v>195</v>
      </c>
      <c r="C433" s="8" t="s">
        <v>115</v>
      </c>
      <c r="D433" s="8" t="s">
        <v>106</v>
      </c>
      <c r="E433" s="8" t="s">
        <v>214</v>
      </c>
      <c r="F433" s="9" t="s">
        <v>353</v>
      </c>
      <c r="G433" s="20">
        <f>202+23+7.3</f>
        <v>232.3</v>
      </c>
      <c r="H433" s="20">
        <f>202+23+7.3</f>
        <v>232.3</v>
      </c>
      <c r="I433" s="20">
        <v>232.3</v>
      </c>
      <c r="J433" s="20">
        <v>232.3</v>
      </c>
      <c r="K433" s="38"/>
    </row>
    <row r="434" spans="1:11" ht="100.5">
      <c r="A434" s="6" t="s">
        <v>471</v>
      </c>
      <c r="B434" s="8" t="s">
        <v>195</v>
      </c>
      <c r="C434" s="8" t="s">
        <v>115</v>
      </c>
      <c r="D434" s="8" t="s">
        <v>106</v>
      </c>
      <c r="E434" s="8" t="s">
        <v>470</v>
      </c>
      <c r="F434" s="9"/>
      <c r="G434" s="20">
        <f>G435</f>
        <v>599</v>
      </c>
      <c r="H434" s="20">
        <f>H435</f>
        <v>599</v>
      </c>
      <c r="I434" s="20">
        <f>I435</f>
        <v>599</v>
      </c>
      <c r="J434" s="20">
        <f>J435</f>
        <v>599</v>
      </c>
      <c r="K434" s="38"/>
    </row>
    <row r="435" spans="1:11" ht="15.75">
      <c r="A435" s="7" t="s">
        <v>354</v>
      </c>
      <c r="B435" s="8" t="s">
        <v>195</v>
      </c>
      <c r="C435" s="8" t="s">
        <v>115</v>
      </c>
      <c r="D435" s="8" t="s">
        <v>106</v>
      </c>
      <c r="E435" s="8" t="s">
        <v>470</v>
      </c>
      <c r="F435" s="9" t="s">
        <v>353</v>
      </c>
      <c r="G435" s="20">
        <v>599</v>
      </c>
      <c r="H435" s="20">
        <v>599</v>
      </c>
      <c r="I435" s="20">
        <v>599</v>
      </c>
      <c r="J435" s="20">
        <v>599</v>
      </c>
      <c r="K435" s="38"/>
    </row>
    <row r="436" spans="1:11" ht="15.75">
      <c r="A436" s="13" t="s">
        <v>228</v>
      </c>
      <c r="B436" s="8" t="s">
        <v>195</v>
      </c>
      <c r="C436" s="8" t="s">
        <v>115</v>
      </c>
      <c r="D436" s="8" t="s">
        <v>106</v>
      </c>
      <c r="E436" s="8" t="s">
        <v>236</v>
      </c>
      <c r="F436" s="9"/>
      <c r="G436" s="20">
        <f>G437</f>
        <v>4761.099999999999</v>
      </c>
      <c r="H436" s="20">
        <f>H437</f>
        <v>0</v>
      </c>
      <c r="I436" s="20">
        <f>I437</f>
        <v>4728.9</v>
      </c>
      <c r="J436" s="20">
        <f>J437</f>
        <v>0</v>
      </c>
      <c r="K436" s="38"/>
    </row>
    <row r="437" spans="1:11" ht="15.75">
      <c r="A437" s="7" t="s">
        <v>147</v>
      </c>
      <c r="B437" s="8" t="s">
        <v>195</v>
      </c>
      <c r="C437" s="8" t="s">
        <v>115</v>
      </c>
      <c r="D437" s="8" t="s">
        <v>106</v>
      </c>
      <c r="E437" s="8" t="s">
        <v>236</v>
      </c>
      <c r="F437" s="9" t="s">
        <v>148</v>
      </c>
      <c r="G437" s="20">
        <f>4573.4+187.7</f>
        <v>4761.099999999999</v>
      </c>
      <c r="H437" s="20"/>
      <c r="I437" s="20">
        <v>4728.9</v>
      </c>
      <c r="J437" s="20"/>
      <c r="K437" s="38"/>
    </row>
    <row r="438" spans="1:11" ht="15.75">
      <c r="A438" s="7" t="s">
        <v>14</v>
      </c>
      <c r="B438" s="8" t="s">
        <v>195</v>
      </c>
      <c r="C438" s="8" t="s">
        <v>115</v>
      </c>
      <c r="D438" s="8" t="s">
        <v>106</v>
      </c>
      <c r="E438" s="8" t="s">
        <v>129</v>
      </c>
      <c r="F438" s="9"/>
      <c r="G438" s="20">
        <f>G440+G439</f>
        <v>37187.200000000004</v>
      </c>
      <c r="H438" s="20">
        <f>H440+H439</f>
        <v>0</v>
      </c>
      <c r="I438" s="20">
        <f>I440+I439</f>
        <v>36494.1</v>
      </c>
      <c r="J438" s="20">
        <f>J440+J439</f>
        <v>0</v>
      </c>
      <c r="K438" s="38"/>
    </row>
    <row r="439" spans="1:11" ht="15.75">
      <c r="A439" s="7" t="s">
        <v>95</v>
      </c>
      <c r="B439" s="8" t="s">
        <v>195</v>
      </c>
      <c r="C439" s="8" t="s">
        <v>115</v>
      </c>
      <c r="D439" s="8" t="s">
        <v>106</v>
      </c>
      <c r="E439" s="8" t="s">
        <v>129</v>
      </c>
      <c r="F439" s="9" t="s">
        <v>52</v>
      </c>
      <c r="G439" s="20">
        <v>139.9</v>
      </c>
      <c r="H439" s="20"/>
      <c r="I439" s="20">
        <v>139.9</v>
      </c>
      <c r="J439" s="20"/>
      <c r="K439" s="38"/>
    </row>
    <row r="440" spans="1:11" ht="15.75">
      <c r="A440" s="7" t="s">
        <v>147</v>
      </c>
      <c r="B440" s="8" t="s">
        <v>195</v>
      </c>
      <c r="C440" s="8" t="s">
        <v>115</v>
      </c>
      <c r="D440" s="8" t="s">
        <v>106</v>
      </c>
      <c r="E440" s="8" t="s">
        <v>129</v>
      </c>
      <c r="F440" s="9" t="s">
        <v>148</v>
      </c>
      <c r="G440" s="20">
        <v>37047.3</v>
      </c>
      <c r="H440" s="20"/>
      <c r="I440" s="20">
        <v>36354.2</v>
      </c>
      <c r="J440" s="20"/>
      <c r="K440" s="38"/>
    </row>
    <row r="441" spans="1:11" ht="15.75">
      <c r="A441" s="10" t="s">
        <v>6</v>
      </c>
      <c r="B441" s="11" t="s">
        <v>195</v>
      </c>
      <c r="C441" s="11" t="s">
        <v>115</v>
      </c>
      <c r="D441" s="11" t="s">
        <v>106</v>
      </c>
      <c r="E441" s="11" t="s">
        <v>22</v>
      </c>
      <c r="F441" s="12"/>
      <c r="G441" s="19">
        <f>G442+G445</f>
        <v>3972.7000000000003</v>
      </c>
      <c r="H441" s="19">
        <f>H442+H445</f>
        <v>0</v>
      </c>
      <c r="I441" s="19">
        <f>I442+I445</f>
        <v>3780</v>
      </c>
      <c r="J441" s="19">
        <f>J442+J445</f>
        <v>0</v>
      </c>
      <c r="K441" s="37">
        <f>I441/G441*100</f>
        <v>95.1493946182697</v>
      </c>
    </row>
    <row r="442" spans="1:11" ht="15.75">
      <c r="A442" s="13" t="s">
        <v>228</v>
      </c>
      <c r="B442" s="8" t="s">
        <v>195</v>
      </c>
      <c r="C442" s="8" t="s">
        <v>115</v>
      </c>
      <c r="D442" s="8" t="s">
        <v>106</v>
      </c>
      <c r="E442" s="8" t="s">
        <v>237</v>
      </c>
      <c r="F442" s="12"/>
      <c r="G442" s="19">
        <f>G444+G443</f>
        <v>4.3</v>
      </c>
      <c r="H442" s="19">
        <f>H444+H443</f>
        <v>0</v>
      </c>
      <c r="I442" s="19">
        <f>I444+I443</f>
        <v>4.3</v>
      </c>
      <c r="J442" s="19">
        <f>J444+J443</f>
        <v>0</v>
      </c>
      <c r="K442" s="37">
        <f>I442/G442*100</f>
        <v>100</v>
      </c>
    </row>
    <row r="443" spans="1:11" ht="15.75">
      <c r="A443" s="7" t="s">
        <v>95</v>
      </c>
      <c r="B443" s="8" t="s">
        <v>195</v>
      </c>
      <c r="C443" s="8" t="s">
        <v>115</v>
      </c>
      <c r="D443" s="8" t="s">
        <v>106</v>
      </c>
      <c r="E443" s="8" t="s">
        <v>237</v>
      </c>
      <c r="F443" s="9" t="s">
        <v>52</v>
      </c>
      <c r="G443" s="20">
        <f>0.5-0.5</f>
        <v>0</v>
      </c>
      <c r="H443" s="19"/>
      <c r="I443" s="20"/>
      <c r="J443" s="20"/>
      <c r="K443" s="38"/>
    </row>
    <row r="444" spans="1:11" ht="15.75">
      <c r="A444" s="7" t="s">
        <v>147</v>
      </c>
      <c r="B444" s="8" t="s">
        <v>195</v>
      </c>
      <c r="C444" s="8" t="s">
        <v>115</v>
      </c>
      <c r="D444" s="8" t="s">
        <v>106</v>
      </c>
      <c r="E444" s="8" t="s">
        <v>237</v>
      </c>
      <c r="F444" s="9" t="s">
        <v>148</v>
      </c>
      <c r="G444" s="20">
        <f>3.8+0.5</f>
        <v>4.3</v>
      </c>
      <c r="H444" s="19"/>
      <c r="I444" s="20">
        <v>4.3</v>
      </c>
      <c r="J444" s="20"/>
      <c r="K444" s="38"/>
    </row>
    <row r="445" spans="1:11" ht="15.75">
      <c r="A445" s="7" t="s">
        <v>14</v>
      </c>
      <c r="B445" s="8" t="s">
        <v>195</v>
      </c>
      <c r="C445" s="8" t="s">
        <v>115</v>
      </c>
      <c r="D445" s="8" t="s">
        <v>106</v>
      </c>
      <c r="E445" s="8" t="s">
        <v>130</v>
      </c>
      <c r="F445" s="9"/>
      <c r="G445" s="20">
        <f>G447+G446</f>
        <v>3968.4</v>
      </c>
      <c r="H445" s="20">
        <f>H447+H446</f>
        <v>0</v>
      </c>
      <c r="I445" s="20">
        <f>I447+I446</f>
        <v>3775.7</v>
      </c>
      <c r="J445" s="20">
        <f>J447+J446</f>
        <v>0</v>
      </c>
      <c r="K445" s="38"/>
    </row>
    <row r="446" spans="1:11" ht="15.75">
      <c r="A446" s="7" t="s">
        <v>95</v>
      </c>
      <c r="B446" s="8" t="s">
        <v>195</v>
      </c>
      <c r="C446" s="8" t="s">
        <v>115</v>
      </c>
      <c r="D446" s="8" t="s">
        <v>106</v>
      </c>
      <c r="E446" s="8" t="s">
        <v>130</v>
      </c>
      <c r="F446" s="9" t="s">
        <v>52</v>
      </c>
      <c r="G446" s="20">
        <v>2.1</v>
      </c>
      <c r="H446" s="20"/>
      <c r="I446" s="20">
        <v>2.1</v>
      </c>
      <c r="J446" s="20"/>
      <c r="K446" s="38"/>
    </row>
    <row r="447" spans="1:11" ht="15.75">
      <c r="A447" s="7" t="s">
        <v>147</v>
      </c>
      <c r="B447" s="8" t="s">
        <v>195</v>
      </c>
      <c r="C447" s="8" t="s">
        <v>115</v>
      </c>
      <c r="D447" s="8" t="s">
        <v>106</v>
      </c>
      <c r="E447" s="8" t="s">
        <v>130</v>
      </c>
      <c r="F447" s="9" t="s">
        <v>148</v>
      </c>
      <c r="G447" s="20">
        <f>3886.3+80</f>
        <v>3966.3</v>
      </c>
      <c r="H447" s="20"/>
      <c r="I447" s="20">
        <v>3773.6</v>
      </c>
      <c r="J447" s="20"/>
      <c r="K447" s="38"/>
    </row>
    <row r="448" spans="1:11" ht="15.75">
      <c r="A448" s="10" t="s">
        <v>7</v>
      </c>
      <c r="B448" s="11" t="s">
        <v>195</v>
      </c>
      <c r="C448" s="11" t="s">
        <v>115</v>
      </c>
      <c r="D448" s="11" t="s">
        <v>106</v>
      </c>
      <c r="E448" s="11" t="s">
        <v>23</v>
      </c>
      <c r="F448" s="12"/>
      <c r="G448" s="19">
        <f>G451+G453+G449</f>
        <v>11434.6</v>
      </c>
      <c r="H448" s="19">
        <f>H451+H453+H449</f>
        <v>196</v>
      </c>
      <c r="I448" s="19">
        <f>I451+I453+I449</f>
        <v>11409.9</v>
      </c>
      <c r="J448" s="19">
        <f>J451+J453+J449</f>
        <v>171.3</v>
      </c>
      <c r="K448" s="37">
        <f>I448/G448*100</f>
        <v>99.78398894583107</v>
      </c>
    </row>
    <row r="449" spans="1:11" ht="43.5">
      <c r="A449" s="6" t="s">
        <v>443</v>
      </c>
      <c r="B449" s="8" t="s">
        <v>195</v>
      </c>
      <c r="C449" s="8" t="s">
        <v>115</v>
      </c>
      <c r="D449" s="8" t="s">
        <v>106</v>
      </c>
      <c r="E449" s="8" t="s">
        <v>444</v>
      </c>
      <c r="F449" s="12"/>
      <c r="G449" s="20">
        <f>G450</f>
        <v>196</v>
      </c>
      <c r="H449" s="20">
        <f>H450</f>
        <v>196</v>
      </c>
      <c r="I449" s="20">
        <f>I450</f>
        <v>171.3</v>
      </c>
      <c r="J449" s="20">
        <f>J450</f>
        <v>171.3</v>
      </c>
      <c r="K449" s="38"/>
    </row>
    <row r="450" spans="1:11" ht="15.75">
      <c r="A450" s="7" t="s">
        <v>354</v>
      </c>
      <c r="B450" s="8" t="s">
        <v>195</v>
      </c>
      <c r="C450" s="8" t="s">
        <v>115</v>
      </c>
      <c r="D450" s="8" t="s">
        <v>106</v>
      </c>
      <c r="E450" s="8" t="s">
        <v>444</v>
      </c>
      <c r="F450" s="9" t="s">
        <v>353</v>
      </c>
      <c r="G450" s="20">
        <f>196</f>
        <v>196</v>
      </c>
      <c r="H450" s="20">
        <f>196</f>
        <v>196</v>
      </c>
      <c r="I450" s="20">
        <v>171.3</v>
      </c>
      <c r="J450" s="20">
        <v>171.3</v>
      </c>
      <c r="K450" s="38"/>
    </row>
    <row r="451" spans="1:11" ht="15.75">
      <c r="A451" s="13" t="s">
        <v>228</v>
      </c>
      <c r="B451" s="8" t="s">
        <v>195</v>
      </c>
      <c r="C451" s="8" t="s">
        <v>115</v>
      </c>
      <c r="D451" s="8" t="s">
        <v>106</v>
      </c>
      <c r="E451" s="8" t="s">
        <v>235</v>
      </c>
      <c r="F451" s="9"/>
      <c r="G451" s="20">
        <f>G452</f>
        <v>6</v>
      </c>
      <c r="H451" s="20">
        <f>H452</f>
        <v>0</v>
      </c>
      <c r="I451" s="20">
        <f>I452</f>
        <v>6</v>
      </c>
      <c r="J451" s="20">
        <f>J452</f>
        <v>0</v>
      </c>
      <c r="K451" s="38"/>
    </row>
    <row r="452" spans="1:11" ht="15.75">
      <c r="A452" s="7" t="s">
        <v>147</v>
      </c>
      <c r="B452" s="8" t="s">
        <v>195</v>
      </c>
      <c r="C452" s="8" t="s">
        <v>115</v>
      </c>
      <c r="D452" s="8" t="s">
        <v>106</v>
      </c>
      <c r="E452" s="8" t="s">
        <v>235</v>
      </c>
      <c r="F452" s="9" t="s">
        <v>148</v>
      </c>
      <c r="G452" s="20">
        <v>6</v>
      </c>
      <c r="H452" s="20"/>
      <c r="I452" s="20">
        <v>6</v>
      </c>
      <c r="J452" s="20"/>
      <c r="K452" s="38"/>
    </row>
    <row r="453" spans="1:11" ht="15.75">
      <c r="A453" s="7" t="s">
        <v>14</v>
      </c>
      <c r="B453" s="8" t="s">
        <v>195</v>
      </c>
      <c r="C453" s="8" t="s">
        <v>115</v>
      </c>
      <c r="D453" s="8" t="s">
        <v>106</v>
      </c>
      <c r="E453" s="8" t="s">
        <v>131</v>
      </c>
      <c r="F453" s="9"/>
      <c r="G453" s="20">
        <f>G455+G454</f>
        <v>11232.6</v>
      </c>
      <c r="H453" s="20">
        <f>H455+H454</f>
        <v>0</v>
      </c>
      <c r="I453" s="20">
        <f>I455+I454</f>
        <v>11232.6</v>
      </c>
      <c r="J453" s="20">
        <f>J455+J454</f>
        <v>0</v>
      </c>
      <c r="K453" s="38"/>
    </row>
    <row r="454" spans="1:11" ht="15.75">
      <c r="A454" s="7" t="s">
        <v>95</v>
      </c>
      <c r="B454" s="8" t="s">
        <v>195</v>
      </c>
      <c r="C454" s="8" t="s">
        <v>115</v>
      </c>
      <c r="D454" s="8" t="s">
        <v>106</v>
      </c>
      <c r="E454" s="8" t="s">
        <v>131</v>
      </c>
      <c r="F454" s="9" t="s">
        <v>52</v>
      </c>
      <c r="G454" s="20">
        <v>11.4</v>
      </c>
      <c r="H454" s="20"/>
      <c r="I454" s="20">
        <v>11.4</v>
      </c>
      <c r="J454" s="20"/>
      <c r="K454" s="38"/>
    </row>
    <row r="455" spans="1:11" ht="15.75">
      <c r="A455" s="7" t="s">
        <v>147</v>
      </c>
      <c r="B455" s="8" t="s">
        <v>195</v>
      </c>
      <c r="C455" s="8" t="s">
        <v>115</v>
      </c>
      <c r="D455" s="8" t="s">
        <v>106</v>
      </c>
      <c r="E455" s="8" t="s">
        <v>131</v>
      </c>
      <c r="F455" s="9" t="s">
        <v>148</v>
      </c>
      <c r="G455" s="20">
        <f>10180.2+519+302+220</f>
        <v>11221.2</v>
      </c>
      <c r="H455" s="20"/>
      <c r="I455" s="20">
        <v>11221.2</v>
      </c>
      <c r="J455" s="20"/>
      <c r="K455" s="38"/>
    </row>
    <row r="456" spans="1:11" ht="30">
      <c r="A456" s="35" t="s">
        <v>69</v>
      </c>
      <c r="B456" s="11" t="s">
        <v>195</v>
      </c>
      <c r="C456" s="11" t="s">
        <v>115</v>
      </c>
      <c r="D456" s="11" t="s">
        <v>106</v>
      </c>
      <c r="E456" s="11" t="s">
        <v>24</v>
      </c>
      <c r="F456" s="12"/>
      <c r="G456" s="19">
        <f>G457+G459</f>
        <v>11117</v>
      </c>
      <c r="H456" s="19">
        <f>H457+H459</f>
        <v>0</v>
      </c>
      <c r="I456" s="19">
        <f>I457+I459</f>
        <v>11117</v>
      </c>
      <c r="J456" s="19">
        <f>J457+J459</f>
        <v>0</v>
      </c>
      <c r="K456" s="37">
        <f>I456/G456*100</f>
        <v>100</v>
      </c>
    </row>
    <row r="457" spans="1:11" ht="15.75">
      <c r="A457" s="13" t="s">
        <v>228</v>
      </c>
      <c r="B457" s="8" t="s">
        <v>195</v>
      </c>
      <c r="C457" s="8" t="s">
        <v>115</v>
      </c>
      <c r="D457" s="8" t="s">
        <v>106</v>
      </c>
      <c r="E457" s="8" t="s">
        <v>238</v>
      </c>
      <c r="F457" s="12"/>
      <c r="G457" s="20">
        <f>G458</f>
        <v>283.7</v>
      </c>
      <c r="H457" s="20">
        <f>H458</f>
        <v>0</v>
      </c>
      <c r="I457" s="20">
        <f>I458</f>
        <v>283.7</v>
      </c>
      <c r="J457" s="20">
        <f>J458</f>
        <v>0</v>
      </c>
      <c r="K457" s="38"/>
    </row>
    <row r="458" spans="1:11" ht="15.75">
      <c r="A458" s="7" t="s">
        <v>147</v>
      </c>
      <c r="B458" s="8" t="s">
        <v>195</v>
      </c>
      <c r="C458" s="8" t="s">
        <v>115</v>
      </c>
      <c r="D458" s="8" t="s">
        <v>106</v>
      </c>
      <c r="E458" s="8" t="s">
        <v>238</v>
      </c>
      <c r="F458" s="9" t="s">
        <v>148</v>
      </c>
      <c r="G458" s="20">
        <v>283.7</v>
      </c>
      <c r="H458" s="19"/>
      <c r="I458" s="20">
        <v>283.7</v>
      </c>
      <c r="J458" s="20"/>
      <c r="K458" s="38"/>
    </row>
    <row r="459" spans="1:11" ht="15.75">
      <c r="A459" s="7" t="s">
        <v>14</v>
      </c>
      <c r="B459" s="8" t="s">
        <v>195</v>
      </c>
      <c r="C459" s="8" t="s">
        <v>115</v>
      </c>
      <c r="D459" s="8" t="s">
        <v>106</v>
      </c>
      <c r="E459" s="8" t="s">
        <v>132</v>
      </c>
      <c r="F459" s="9"/>
      <c r="G459" s="20">
        <f>G460</f>
        <v>10833.3</v>
      </c>
      <c r="H459" s="20">
        <f>H460</f>
        <v>0</v>
      </c>
      <c r="I459" s="20">
        <f>I460</f>
        <v>10833.3</v>
      </c>
      <c r="J459" s="20">
        <f>J460</f>
        <v>0</v>
      </c>
      <c r="K459" s="38"/>
    </row>
    <row r="460" spans="1:11" ht="15.75">
      <c r="A460" s="7" t="s">
        <v>147</v>
      </c>
      <c r="B460" s="8" t="s">
        <v>195</v>
      </c>
      <c r="C460" s="8" t="s">
        <v>115</v>
      </c>
      <c r="D460" s="8" t="s">
        <v>106</v>
      </c>
      <c r="E460" s="8" t="s">
        <v>132</v>
      </c>
      <c r="F460" s="9" t="s">
        <v>148</v>
      </c>
      <c r="G460" s="20">
        <f>9333.3+1500</f>
        <v>10833.3</v>
      </c>
      <c r="H460" s="20"/>
      <c r="I460" s="20">
        <v>10833.3</v>
      </c>
      <c r="J460" s="20"/>
      <c r="K460" s="38"/>
    </row>
    <row r="461" spans="1:11" ht="15.75">
      <c r="A461" s="7" t="s">
        <v>74</v>
      </c>
      <c r="B461" s="8" t="s">
        <v>195</v>
      </c>
      <c r="C461" s="8" t="s">
        <v>115</v>
      </c>
      <c r="D461" s="8" t="s">
        <v>106</v>
      </c>
      <c r="E461" s="8" t="s">
        <v>58</v>
      </c>
      <c r="F461" s="9"/>
      <c r="G461" s="20">
        <f aca="true" t="shared" si="37" ref="G461:J463">G462</f>
        <v>50</v>
      </c>
      <c r="H461" s="20">
        <f t="shared" si="37"/>
        <v>50</v>
      </c>
      <c r="I461" s="20">
        <f t="shared" si="37"/>
        <v>50</v>
      </c>
      <c r="J461" s="20">
        <f t="shared" si="37"/>
        <v>50</v>
      </c>
      <c r="K461" s="38"/>
    </row>
    <row r="462" spans="1:11" ht="72">
      <c r="A462" s="6" t="s">
        <v>503</v>
      </c>
      <c r="B462" s="8" t="s">
        <v>195</v>
      </c>
      <c r="C462" s="8" t="s">
        <v>115</v>
      </c>
      <c r="D462" s="8" t="s">
        <v>106</v>
      </c>
      <c r="E462" s="8" t="s">
        <v>485</v>
      </c>
      <c r="F462" s="9"/>
      <c r="G462" s="20">
        <f t="shared" si="37"/>
        <v>50</v>
      </c>
      <c r="H462" s="20">
        <f t="shared" si="37"/>
        <v>50</v>
      </c>
      <c r="I462" s="20">
        <f t="shared" si="37"/>
        <v>50</v>
      </c>
      <c r="J462" s="20">
        <f t="shared" si="37"/>
        <v>50</v>
      </c>
      <c r="K462" s="38"/>
    </row>
    <row r="463" spans="1:11" ht="29.25">
      <c r="A463" s="6" t="s">
        <v>487</v>
      </c>
      <c r="B463" s="8" t="s">
        <v>195</v>
      </c>
      <c r="C463" s="8" t="s">
        <v>115</v>
      </c>
      <c r="D463" s="8" t="s">
        <v>106</v>
      </c>
      <c r="E463" s="8" t="s">
        <v>486</v>
      </c>
      <c r="F463" s="9"/>
      <c r="G463" s="20">
        <f t="shared" si="37"/>
        <v>50</v>
      </c>
      <c r="H463" s="20">
        <f t="shared" si="37"/>
        <v>50</v>
      </c>
      <c r="I463" s="20">
        <f t="shared" si="37"/>
        <v>50</v>
      </c>
      <c r="J463" s="20">
        <f t="shared" si="37"/>
        <v>50</v>
      </c>
      <c r="K463" s="38"/>
    </row>
    <row r="464" spans="1:11" ht="15.75">
      <c r="A464" s="7" t="s">
        <v>307</v>
      </c>
      <c r="B464" s="8" t="s">
        <v>195</v>
      </c>
      <c r="C464" s="8" t="s">
        <v>115</v>
      </c>
      <c r="D464" s="8" t="s">
        <v>106</v>
      </c>
      <c r="E464" s="8" t="s">
        <v>486</v>
      </c>
      <c r="F464" s="9" t="s">
        <v>304</v>
      </c>
      <c r="G464" s="20">
        <v>50</v>
      </c>
      <c r="H464" s="20">
        <v>50</v>
      </c>
      <c r="I464" s="20">
        <v>50</v>
      </c>
      <c r="J464" s="20">
        <v>50</v>
      </c>
      <c r="K464" s="38"/>
    </row>
    <row r="465" spans="1:11" ht="15.75">
      <c r="A465" s="10" t="s">
        <v>217</v>
      </c>
      <c r="B465" s="11" t="s">
        <v>195</v>
      </c>
      <c r="C465" s="11" t="s">
        <v>115</v>
      </c>
      <c r="D465" s="11" t="s">
        <v>108</v>
      </c>
      <c r="E465" s="11"/>
      <c r="F465" s="12"/>
      <c r="G465" s="19">
        <f>G466+G471+G476</f>
        <v>21744.2</v>
      </c>
      <c r="H465" s="19">
        <f>H466+H471+H476</f>
        <v>0</v>
      </c>
      <c r="I465" s="19">
        <f>I466+I471+I476</f>
        <v>20789.2</v>
      </c>
      <c r="J465" s="19">
        <f>J466+J471+J476</f>
        <v>0</v>
      </c>
      <c r="K465" s="37">
        <f>I465/G465*100</f>
        <v>95.60802420875451</v>
      </c>
    </row>
    <row r="466" spans="1:11" ht="15.75">
      <c r="A466" s="6" t="s">
        <v>87</v>
      </c>
      <c r="B466" s="8" t="s">
        <v>195</v>
      </c>
      <c r="C466" s="8" t="s">
        <v>115</v>
      </c>
      <c r="D466" s="8" t="s">
        <v>108</v>
      </c>
      <c r="E466" s="8" t="s">
        <v>149</v>
      </c>
      <c r="F466" s="12"/>
      <c r="G466" s="20">
        <f>G467+G469</f>
        <v>8392.5</v>
      </c>
      <c r="H466" s="20">
        <f>H467+H469</f>
        <v>0</v>
      </c>
      <c r="I466" s="20">
        <f>I467+I469</f>
        <v>7633.2</v>
      </c>
      <c r="J466" s="20">
        <f>J467+J469</f>
        <v>0</v>
      </c>
      <c r="K466" s="38"/>
    </row>
    <row r="467" spans="1:11" ht="15.75">
      <c r="A467" s="7" t="s">
        <v>33</v>
      </c>
      <c r="B467" s="8" t="s">
        <v>195</v>
      </c>
      <c r="C467" s="8" t="s">
        <v>115</v>
      </c>
      <c r="D467" s="8" t="s">
        <v>108</v>
      </c>
      <c r="E467" s="8" t="s">
        <v>151</v>
      </c>
      <c r="F467" s="12"/>
      <c r="G467" s="20">
        <f>G468</f>
        <v>8384.5</v>
      </c>
      <c r="H467" s="20">
        <f>H468</f>
        <v>0</v>
      </c>
      <c r="I467" s="20">
        <f>I468</f>
        <v>7633.2</v>
      </c>
      <c r="J467" s="20">
        <f>J468</f>
        <v>0</v>
      </c>
      <c r="K467" s="38"/>
    </row>
    <row r="468" spans="1:11" ht="15.75">
      <c r="A468" s="7" t="s">
        <v>144</v>
      </c>
      <c r="B468" s="8" t="s">
        <v>195</v>
      </c>
      <c r="C468" s="8" t="s">
        <v>115</v>
      </c>
      <c r="D468" s="8" t="s">
        <v>108</v>
      </c>
      <c r="E468" s="8" t="s">
        <v>151</v>
      </c>
      <c r="F468" s="9" t="s">
        <v>150</v>
      </c>
      <c r="G468" s="20">
        <v>8384.5</v>
      </c>
      <c r="H468" s="20"/>
      <c r="I468" s="20">
        <v>7633.2</v>
      </c>
      <c r="J468" s="20"/>
      <c r="K468" s="38"/>
    </row>
    <row r="469" spans="1:11" ht="15.75">
      <c r="A469" s="13" t="s">
        <v>228</v>
      </c>
      <c r="B469" s="8" t="s">
        <v>195</v>
      </c>
      <c r="C469" s="8" t="s">
        <v>115</v>
      </c>
      <c r="D469" s="8" t="s">
        <v>108</v>
      </c>
      <c r="E469" s="8" t="s">
        <v>229</v>
      </c>
      <c r="F469" s="9"/>
      <c r="G469" s="20">
        <f>G470</f>
        <v>8</v>
      </c>
      <c r="H469" s="20">
        <f>H470</f>
        <v>0</v>
      </c>
      <c r="I469" s="20">
        <f>I470</f>
        <v>0</v>
      </c>
      <c r="J469" s="20">
        <f>J470</f>
        <v>0</v>
      </c>
      <c r="K469" s="38"/>
    </row>
    <row r="470" spans="1:11" ht="15.75">
      <c r="A470" s="7" t="s">
        <v>144</v>
      </c>
      <c r="B470" s="8" t="s">
        <v>195</v>
      </c>
      <c r="C470" s="8" t="s">
        <v>115</v>
      </c>
      <c r="D470" s="8" t="s">
        <v>108</v>
      </c>
      <c r="E470" s="8" t="s">
        <v>229</v>
      </c>
      <c r="F470" s="9" t="s">
        <v>150</v>
      </c>
      <c r="G470" s="20">
        <v>8</v>
      </c>
      <c r="H470" s="20"/>
      <c r="I470" s="20"/>
      <c r="J470" s="20"/>
      <c r="K470" s="38"/>
    </row>
    <row r="471" spans="1:11" ht="57.75">
      <c r="A471" s="6" t="s">
        <v>68</v>
      </c>
      <c r="B471" s="8" t="s">
        <v>195</v>
      </c>
      <c r="C471" s="8" t="s">
        <v>115</v>
      </c>
      <c r="D471" s="8" t="s">
        <v>108</v>
      </c>
      <c r="E471" s="8" t="s">
        <v>25</v>
      </c>
      <c r="F471" s="9"/>
      <c r="G471" s="20">
        <f>G472+G474</f>
        <v>6982.2</v>
      </c>
      <c r="H471" s="20">
        <f>H472+H474</f>
        <v>0</v>
      </c>
      <c r="I471" s="20">
        <f>I472+I474</f>
        <v>6940.2</v>
      </c>
      <c r="J471" s="20">
        <f>J472+J474</f>
        <v>0</v>
      </c>
      <c r="K471" s="38"/>
    </row>
    <row r="472" spans="1:11" ht="15.75">
      <c r="A472" s="13" t="s">
        <v>228</v>
      </c>
      <c r="B472" s="8" t="s">
        <v>195</v>
      </c>
      <c r="C472" s="8" t="s">
        <v>115</v>
      </c>
      <c r="D472" s="8" t="s">
        <v>108</v>
      </c>
      <c r="E472" s="8" t="s">
        <v>233</v>
      </c>
      <c r="F472" s="9"/>
      <c r="G472" s="20">
        <f>G473</f>
        <v>58.2</v>
      </c>
      <c r="H472" s="20">
        <f>H473</f>
        <v>0</v>
      </c>
      <c r="I472" s="20">
        <f>I473</f>
        <v>58.2</v>
      </c>
      <c r="J472" s="20">
        <f>J473</f>
        <v>0</v>
      </c>
      <c r="K472" s="38"/>
    </row>
    <row r="473" spans="1:11" ht="15.75">
      <c r="A473" s="7" t="s">
        <v>147</v>
      </c>
      <c r="B473" s="8" t="s">
        <v>195</v>
      </c>
      <c r="C473" s="8" t="s">
        <v>115</v>
      </c>
      <c r="D473" s="8" t="s">
        <v>108</v>
      </c>
      <c r="E473" s="8" t="s">
        <v>233</v>
      </c>
      <c r="F473" s="9" t="s">
        <v>148</v>
      </c>
      <c r="G473" s="20">
        <f>10+48.2</f>
        <v>58.2</v>
      </c>
      <c r="H473" s="20"/>
      <c r="I473" s="20">
        <v>58.2</v>
      </c>
      <c r="J473" s="20"/>
      <c r="K473" s="38"/>
    </row>
    <row r="474" spans="1:11" ht="15.75">
      <c r="A474" s="7" t="s">
        <v>14</v>
      </c>
      <c r="B474" s="8" t="s">
        <v>195</v>
      </c>
      <c r="C474" s="8" t="s">
        <v>115</v>
      </c>
      <c r="D474" s="8" t="s">
        <v>108</v>
      </c>
      <c r="E474" s="8" t="s">
        <v>127</v>
      </c>
      <c r="F474" s="9"/>
      <c r="G474" s="20">
        <f>G475</f>
        <v>6924</v>
      </c>
      <c r="H474" s="20">
        <f>H475</f>
        <v>0</v>
      </c>
      <c r="I474" s="20">
        <f>I475</f>
        <v>6882</v>
      </c>
      <c r="J474" s="20">
        <f>J475</f>
        <v>0</v>
      </c>
      <c r="K474" s="38"/>
    </row>
    <row r="475" spans="1:11" ht="15.75">
      <c r="A475" s="7" t="s">
        <v>147</v>
      </c>
      <c r="B475" s="8" t="s">
        <v>195</v>
      </c>
      <c r="C475" s="8" t="s">
        <v>115</v>
      </c>
      <c r="D475" s="8" t="s">
        <v>108</v>
      </c>
      <c r="E475" s="8" t="s">
        <v>127</v>
      </c>
      <c r="F475" s="9" t="s">
        <v>148</v>
      </c>
      <c r="G475" s="20">
        <f>5244+1306-556+870+60</f>
        <v>6924</v>
      </c>
      <c r="H475" s="20"/>
      <c r="I475" s="20">
        <v>6882</v>
      </c>
      <c r="J475" s="20"/>
      <c r="K475" s="38"/>
    </row>
    <row r="476" spans="1:11" ht="15.75">
      <c r="A476" s="10" t="s">
        <v>78</v>
      </c>
      <c r="B476" s="8" t="s">
        <v>195</v>
      </c>
      <c r="C476" s="8" t="s">
        <v>115</v>
      </c>
      <c r="D476" s="8" t="s">
        <v>108</v>
      </c>
      <c r="E476" s="8" t="s">
        <v>79</v>
      </c>
      <c r="F476" s="9"/>
      <c r="G476" s="20">
        <f>G477+G479</f>
        <v>6369.5</v>
      </c>
      <c r="H476" s="20">
        <f>H477+H479</f>
        <v>0</v>
      </c>
      <c r="I476" s="20">
        <f>I477+I479</f>
        <v>6215.8</v>
      </c>
      <c r="J476" s="20">
        <f>J477+J479</f>
        <v>0</v>
      </c>
      <c r="K476" s="37">
        <f>I476/G476*100</f>
        <v>97.58693775021587</v>
      </c>
    </row>
    <row r="477" spans="1:11" ht="43.5">
      <c r="A477" s="6" t="s">
        <v>222</v>
      </c>
      <c r="B477" s="8" t="s">
        <v>195</v>
      </c>
      <c r="C477" s="8" t="s">
        <v>115</v>
      </c>
      <c r="D477" s="8" t="s">
        <v>108</v>
      </c>
      <c r="E477" s="8" t="s">
        <v>128</v>
      </c>
      <c r="F477" s="9"/>
      <c r="G477" s="20">
        <f>G478</f>
        <v>753.5999999999998</v>
      </c>
      <c r="H477" s="20">
        <f>H478</f>
        <v>0</v>
      </c>
      <c r="I477" s="20">
        <f>I478</f>
        <v>735.8</v>
      </c>
      <c r="J477" s="20">
        <f>J478</f>
        <v>0</v>
      </c>
      <c r="K477" s="38"/>
    </row>
    <row r="478" spans="1:11" ht="15.75">
      <c r="A478" s="7" t="s">
        <v>86</v>
      </c>
      <c r="B478" s="8" t="s">
        <v>195</v>
      </c>
      <c r="C478" s="8" t="s">
        <v>115</v>
      </c>
      <c r="D478" s="8" t="s">
        <v>108</v>
      </c>
      <c r="E478" s="8" t="s">
        <v>128</v>
      </c>
      <c r="F478" s="9" t="s">
        <v>150</v>
      </c>
      <c r="G478" s="20">
        <f>1751+924.7-1796.2-542.5+416.6</f>
        <v>753.5999999999998</v>
      </c>
      <c r="H478" s="20"/>
      <c r="I478" s="20">
        <v>735.8</v>
      </c>
      <c r="J478" s="20"/>
      <c r="K478" s="38"/>
    </row>
    <row r="479" spans="1:11" ht="29.25">
      <c r="A479" s="6" t="s">
        <v>206</v>
      </c>
      <c r="B479" s="8" t="s">
        <v>195</v>
      </c>
      <c r="C479" s="8" t="s">
        <v>115</v>
      </c>
      <c r="D479" s="8" t="s">
        <v>108</v>
      </c>
      <c r="E479" s="8" t="s">
        <v>257</v>
      </c>
      <c r="F479" s="9"/>
      <c r="G479" s="20">
        <f>G480+G481</f>
        <v>5615.900000000001</v>
      </c>
      <c r="H479" s="20">
        <f>H480+H481</f>
        <v>0</v>
      </c>
      <c r="I479" s="20">
        <f>I480+I481</f>
        <v>5480</v>
      </c>
      <c r="J479" s="20">
        <f>J480+J481</f>
        <v>0</v>
      </c>
      <c r="K479" s="38"/>
    </row>
    <row r="480" spans="1:11" ht="15.75">
      <c r="A480" s="7" t="s">
        <v>147</v>
      </c>
      <c r="B480" s="8" t="s">
        <v>195</v>
      </c>
      <c r="C480" s="8" t="s">
        <v>115</v>
      </c>
      <c r="D480" s="8" t="s">
        <v>108</v>
      </c>
      <c r="E480" s="8" t="s">
        <v>257</v>
      </c>
      <c r="F480" s="9" t="s">
        <v>148</v>
      </c>
      <c r="G480" s="20">
        <f>3633.8-1559.2+1500+101.1+150+208.1+150</f>
        <v>4183.8</v>
      </c>
      <c r="H480" s="20"/>
      <c r="I480" s="20">
        <v>4083.6</v>
      </c>
      <c r="J480" s="20"/>
      <c r="K480" s="38"/>
    </row>
    <row r="481" spans="1:11" ht="15.75">
      <c r="A481" s="7" t="s">
        <v>86</v>
      </c>
      <c r="B481" s="8" t="s">
        <v>195</v>
      </c>
      <c r="C481" s="8" t="s">
        <v>115</v>
      </c>
      <c r="D481" s="8" t="s">
        <v>108</v>
      </c>
      <c r="E481" s="8" t="s">
        <v>257</v>
      </c>
      <c r="F481" s="9" t="s">
        <v>150</v>
      </c>
      <c r="G481" s="20">
        <f>792+2101.5+1000-47.7-212+14.1+318-3647.9+14.1+336.8+1559.2+1163.2-1500-101.1-208.1-150</f>
        <v>1432.1000000000004</v>
      </c>
      <c r="H481" s="20"/>
      <c r="I481" s="20">
        <v>1396.4</v>
      </c>
      <c r="J481" s="20"/>
      <c r="K481" s="38"/>
    </row>
    <row r="482" spans="1:11" ht="15.75">
      <c r="A482" s="10" t="s">
        <v>134</v>
      </c>
      <c r="B482" s="11" t="s">
        <v>195</v>
      </c>
      <c r="C482" s="11" t="s">
        <v>188</v>
      </c>
      <c r="D482" s="11"/>
      <c r="E482" s="11"/>
      <c r="F482" s="12"/>
      <c r="G482" s="19">
        <f>G483</f>
        <v>17028.1</v>
      </c>
      <c r="H482" s="19">
        <f>H483</f>
        <v>0</v>
      </c>
      <c r="I482" s="19">
        <f>I483</f>
        <v>16245.099999999999</v>
      </c>
      <c r="J482" s="19">
        <f>J483</f>
        <v>0</v>
      </c>
      <c r="K482" s="37">
        <f>I482/G482*100</f>
        <v>95.40171833616199</v>
      </c>
    </row>
    <row r="483" spans="1:11" ht="15.75">
      <c r="A483" s="10" t="s">
        <v>189</v>
      </c>
      <c r="B483" s="11" t="s">
        <v>195</v>
      </c>
      <c r="C483" s="11" t="s">
        <v>188</v>
      </c>
      <c r="D483" s="11" t="s">
        <v>106</v>
      </c>
      <c r="E483" s="11"/>
      <c r="F483" s="12"/>
      <c r="G483" s="19">
        <f>G484+G491</f>
        <v>17028.1</v>
      </c>
      <c r="H483" s="19">
        <f>H484+H491</f>
        <v>0</v>
      </c>
      <c r="I483" s="19">
        <f>I484+I491</f>
        <v>16245.099999999999</v>
      </c>
      <c r="J483" s="19">
        <f>J484+J491</f>
        <v>0</v>
      </c>
      <c r="K483" s="37"/>
    </row>
    <row r="484" spans="1:11" ht="15.75">
      <c r="A484" s="7" t="s">
        <v>46</v>
      </c>
      <c r="B484" s="8" t="s">
        <v>195</v>
      </c>
      <c r="C484" s="8" t="s">
        <v>188</v>
      </c>
      <c r="D484" s="8" t="s">
        <v>106</v>
      </c>
      <c r="E484" s="8" t="s">
        <v>47</v>
      </c>
      <c r="F484" s="9"/>
      <c r="G484" s="20">
        <f>G485+G487</f>
        <v>15151.199999999999</v>
      </c>
      <c r="H484" s="20">
        <f>H485+H487</f>
        <v>0</v>
      </c>
      <c r="I484" s="20">
        <f>I485+I487</f>
        <v>14408.199999999999</v>
      </c>
      <c r="J484" s="20">
        <f>J485+J487</f>
        <v>0</v>
      </c>
      <c r="K484" s="38"/>
    </row>
    <row r="485" spans="1:11" ht="15.75">
      <c r="A485" s="13" t="s">
        <v>228</v>
      </c>
      <c r="B485" s="8" t="s">
        <v>195</v>
      </c>
      <c r="C485" s="8" t="s">
        <v>188</v>
      </c>
      <c r="D485" s="8" t="s">
        <v>106</v>
      </c>
      <c r="E485" s="8" t="s">
        <v>234</v>
      </c>
      <c r="F485" s="9"/>
      <c r="G485" s="20">
        <f>G486</f>
        <v>796.8</v>
      </c>
      <c r="H485" s="20">
        <f>H486</f>
        <v>0</v>
      </c>
      <c r="I485" s="20">
        <f>I486</f>
        <v>796.8</v>
      </c>
      <c r="J485" s="20">
        <f>J486</f>
        <v>0</v>
      </c>
      <c r="K485" s="38"/>
    </row>
    <row r="486" spans="1:11" ht="15.75">
      <c r="A486" s="7" t="s">
        <v>147</v>
      </c>
      <c r="B486" s="8" t="s">
        <v>195</v>
      </c>
      <c r="C486" s="8" t="s">
        <v>188</v>
      </c>
      <c r="D486" s="8" t="s">
        <v>106</v>
      </c>
      <c r="E486" s="8" t="s">
        <v>234</v>
      </c>
      <c r="F486" s="9" t="s">
        <v>148</v>
      </c>
      <c r="G486" s="20">
        <f>792.5+1.3+3</f>
        <v>796.8</v>
      </c>
      <c r="H486" s="20"/>
      <c r="I486" s="20">
        <v>796.8</v>
      </c>
      <c r="J486" s="20"/>
      <c r="K486" s="38"/>
    </row>
    <row r="487" spans="1:11" ht="15.75">
      <c r="A487" s="7" t="s">
        <v>14</v>
      </c>
      <c r="B487" s="8" t="s">
        <v>195</v>
      </c>
      <c r="C487" s="8" t="s">
        <v>188</v>
      </c>
      <c r="D487" s="8" t="s">
        <v>106</v>
      </c>
      <c r="E487" s="8" t="s">
        <v>135</v>
      </c>
      <c r="F487" s="9"/>
      <c r="G487" s="20">
        <f>G490+G488+G489</f>
        <v>14354.4</v>
      </c>
      <c r="H487" s="20">
        <f>H490+H488+H489</f>
        <v>0</v>
      </c>
      <c r="I487" s="20">
        <f>I490+I488+I489</f>
        <v>13611.4</v>
      </c>
      <c r="J487" s="20">
        <f>J490+J488+J489</f>
        <v>0</v>
      </c>
      <c r="K487" s="38"/>
    </row>
    <row r="488" spans="1:11" ht="15.75">
      <c r="A488" s="7" t="s">
        <v>95</v>
      </c>
      <c r="B488" s="8" t="s">
        <v>195</v>
      </c>
      <c r="C488" s="8" t="s">
        <v>188</v>
      </c>
      <c r="D488" s="8" t="s">
        <v>106</v>
      </c>
      <c r="E488" s="8" t="s">
        <v>135</v>
      </c>
      <c r="F488" s="9" t="s">
        <v>52</v>
      </c>
      <c r="G488" s="20">
        <v>2.6</v>
      </c>
      <c r="H488" s="20"/>
      <c r="I488" s="20">
        <v>2.6</v>
      </c>
      <c r="J488" s="20"/>
      <c r="K488" s="38"/>
    </row>
    <row r="489" spans="1:11" ht="15.75">
      <c r="A489" s="7" t="s">
        <v>88</v>
      </c>
      <c r="B489" s="8" t="s">
        <v>195</v>
      </c>
      <c r="C489" s="8" t="s">
        <v>188</v>
      </c>
      <c r="D489" s="8" t="s">
        <v>106</v>
      </c>
      <c r="E489" s="8" t="s">
        <v>135</v>
      </c>
      <c r="F489" s="9" t="s">
        <v>76</v>
      </c>
      <c r="G489" s="20">
        <v>35</v>
      </c>
      <c r="H489" s="20"/>
      <c r="I489" s="20">
        <v>35</v>
      </c>
      <c r="J489" s="20"/>
      <c r="K489" s="38"/>
    </row>
    <row r="490" spans="1:11" ht="15.75">
      <c r="A490" s="7" t="s">
        <v>147</v>
      </c>
      <c r="B490" s="8" t="s">
        <v>195</v>
      </c>
      <c r="C490" s="8" t="s">
        <v>188</v>
      </c>
      <c r="D490" s="8" t="s">
        <v>106</v>
      </c>
      <c r="E490" s="8" t="s">
        <v>135</v>
      </c>
      <c r="F490" s="9" t="s">
        <v>148</v>
      </c>
      <c r="G490" s="20">
        <f>10642.3+1214.5+3000+200-200-600+60</f>
        <v>14316.8</v>
      </c>
      <c r="H490" s="20"/>
      <c r="I490" s="20">
        <v>13573.8</v>
      </c>
      <c r="J490" s="20"/>
      <c r="K490" s="38"/>
    </row>
    <row r="491" spans="1:11" ht="15.75">
      <c r="A491" s="7" t="s">
        <v>78</v>
      </c>
      <c r="B491" s="8" t="s">
        <v>195</v>
      </c>
      <c r="C491" s="8" t="s">
        <v>188</v>
      </c>
      <c r="D491" s="8" t="s">
        <v>106</v>
      </c>
      <c r="E491" s="8" t="s">
        <v>79</v>
      </c>
      <c r="F491" s="9"/>
      <c r="G491" s="20">
        <f>G492</f>
        <v>1876.9</v>
      </c>
      <c r="H491" s="20">
        <f>H492</f>
        <v>0</v>
      </c>
      <c r="I491" s="20">
        <f>I492</f>
        <v>1836.9</v>
      </c>
      <c r="J491" s="20">
        <f>J492</f>
        <v>0</v>
      </c>
      <c r="K491" s="37">
        <f>I491/G491*100</f>
        <v>97.86882625606053</v>
      </c>
    </row>
    <row r="492" spans="1:11" ht="43.5">
      <c r="A492" s="6" t="s">
        <v>242</v>
      </c>
      <c r="B492" s="8" t="s">
        <v>195</v>
      </c>
      <c r="C492" s="8" t="s">
        <v>188</v>
      </c>
      <c r="D492" s="8" t="s">
        <v>106</v>
      </c>
      <c r="E492" s="8" t="s">
        <v>259</v>
      </c>
      <c r="F492" s="9"/>
      <c r="G492" s="20">
        <f>G494+G493</f>
        <v>1876.9</v>
      </c>
      <c r="H492" s="20">
        <f>H494+H493</f>
        <v>0</v>
      </c>
      <c r="I492" s="20">
        <f>I494+I493</f>
        <v>1836.9</v>
      </c>
      <c r="J492" s="20">
        <f>J494+J493</f>
        <v>0</v>
      </c>
      <c r="K492" s="38"/>
    </row>
    <row r="493" spans="1:11" ht="15.75">
      <c r="A493" s="7" t="s">
        <v>147</v>
      </c>
      <c r="B493" s="8" t="s">
        <v>195</v>
      </c>
      <c r="C493" s="8" t="s">
        <v>188</v>
      </c>
      <c r="D493" s="8" t="s">
        <v>106</v>
      </c>
      <c r="E493" s="8" t="s">
        <v>259</v>
      </c>
      <c r="F493" s="9" t="s">
        <v>148</v>
      </c>
      <c r="G493" s="20">
        <f>1491-114.1+300-300-1186.1+200+300+403.2+51</f>
        <v>1145.0000000000002</v>
      </c>
      <c r="H493" s="20"/>
      <c r="I493" s="20">
        <v>1145</v>
      </c>
      <c r="J493" s="20"/>
      <c r="K493" s="38"/>
    </row>
    <row r="494" spans="1:11" ht="15.75">
      <c r="A494" s="7" t="s">
        <v>86</v>
      </c>
      <c r="B494" s="8" t="s">
        <v>195</v>
      </c>
      <c r="C494" s="8" t="s">
        <v>188</v>
      </c>
      <c r="D494" s="8" t="s">
        <v>106</v>
      </c>
      <c r="E494" s="8" t="s">
        <v>259</v>
      </c>
      <c r="F494" s="9" t="s">
        <v>150</v>
      </c>
      <c r="G494" s="20">
        <f>300+1186.1-300-403.2-51</f>
        <v>731.8999999999999</v>
      </c>
      <c r="H494" s="20"/>
      <c r="I494" s="20">
        <v>691.9</v>
      </c>
      <c r="J494" s="20"/>
      <c r="K494" s="38"/>
    </row>
    <row r="495" spans="1:11" ht="45">
      <c r="A495" s="43" t="s">
        <v>266</v>
      </c>
      <c r="B495" s="11" t="s">
        <v>246</v>
      </c>
      <c r="C495" s="11"/>
      <c r="D495" s="11"/>
      <c r="E495" s="11"/>
      <c r="F495" s="12"/>
      <c r="G495" s="19">
        <f>G496</f>
        <v>6035.1</v>
      </c>
      <c r="H495" s="19">
        <f>H496</f>
        <v>0</v>
      </c>
      <c r="I495" s="19">
        <f>I496</f>
        <v>5654.2</v>
      </c>
      <c r="J495" s="19">
        <f>J496</f>
        <v>0</v>
      </c>
      <c r="K495" s="37">
        <f>I495/G495*100</f>
        <v>93.68858842438401</v>
      </c>
    </row>
    <row r="496" spans="1:11" ht="15.75">
      <c r="A496" s="10" t="s">
        <v>9</v>
      </c>
      <c r="B496" s="11" t="s">
        <v>246</v>
      </c>
      <c r="C496" s="11" t="s">
        <v>106</v>
      </c>
      <c r="D496" s="11"/>
      <c r="E496" s="11"/>
      <c r="F496" s="12"/>
      <c r="G496" s="19">
        <f>G497+G505</f>
        <v>6035.1</v>
      </c>
      <c r="H496" s="19">
        <f>H497+H505</f>
        <v>0</v>
      </c>
      <c r="I496" s="19">
        <f>I497+I505</f>
        <v>5654.2</v>
      </c>
      <c r="J496" s="19">
        <f>J497+J505</f>
        <v>0</v>
      </c>
      <c r="K496" s="37">
        <f>I496/G496*100</f>
        <v>93.68858842438401</v>
      </c>
    </row>
    <row r="497" spans="1:11" ht="45">
      <c r="A497" s="35" t="s">
        <v>156</v>
      </c>
      <c r="B497" s="11" t="s">
        <v>246</v>
      </c>
      <c r="C497" s="11" t="s">
        <v>106</v>
      </c>
      <c r="D497" s="11" t="s">
        <v>111</v>
      </c>
      <c r="E497" s="11"/>
      <c r="F497" s="12"/>
      <c r="G497" s="19">
        <f>G498</f>
        <v>5484.200000000001</v>
      </c>
      <c r="H497" s="19">
        <f>H498</f>
        <v>0</v>
      </c>
      <c r="I497" s="19">
        <f>I498</f>
        <v>5227.5</v>
      </c>
      <c r="J497" s="19">
        <f>J498</f>
        <v>0</v>
      </c>
      <c r="K497" s="37">
        <f>I497/G497*100</f>
        <v>95.3192808431494</v>
      </c>
    </row>
    <row r="498" spans="1:11" ht="43.5">
      <c r="A498" s="6" t="s">
        <v>153</v>
      </c>
      <c r="B498" s="8" t="s">
        <v>246</v>
      </c>
      <c r="C498" s="8" t="s">
        <v>106</v>
      </c>
      <c r="D498" s="8" t="s">
        <v>111</v>
      </c>
      <c r="E498" s="8" t="s">
        <v>149</v>
      </c>
      <c r="F498" s="9"/>
      <c r="G498" s="20">
        <f>G501+G499+G503</f>
        <v>5484.200000000001</v>
      </c>
      <c r="H498" s="20">
        <f>H501+H499+H503</f>
        <v>0</v>
      </c>
      <c r="I498" s="20">
        <f>I501+I499+I503</f>
        <v>5227.5</v>
      </c>
      <c r="J498" s="20">
        <f>J501+J499+J503</f>
        <v>0</v>
      </c>
      <c r="K498" s="38"/>
    </row>
    <row r="499" spans="1:11" ht="15.75">
      <c r="A499" s="7" t="s">
        <v>33</v>
      </c>
      <c r="B499" s="8" t="s">
        <v>246</v>
      </c>
      <c r="C499" s="8" t="s">
        <v>106</v>
      </c>
      <c r="D499" s="8" t="s">
        <v>111</v>
      </c>
      <c r="E499" s="8" t="s">
        <v>151</v>
      </c>
      <c r="F499" s="9"/>
      <c r="G499" s="20">
        <f>G500</f>
        <v>2646.4</v>
      </c>
      <c r="H499" s="20">
        <f>H500</f>
        <v>0</v>
      </c>
      <c r="I499" s="20">
        <f>I500</f>
        <v>2390.3</v>
      </c>
      <c r="J499" s="20">
        <f>J500</f>
        <v>0</v>
      </c>
      <c r="K499" s="38"/>
    </row>
    <row r="500" spans="1:11" ht="15.75">
      <c r="A500" s="7" t="s">
        <v>86</v>
      </c>
      <c r="B500" s="8" t="s">
        <v>246</v>
      </c>
      <c r="C500" s="8" t="s">
        <v>106</v>
      </c>
      <c r="D500" s="8" t="s">
        <v>111</v>
      </c>
      <c r="E500" s="8" t="s">
        <v>151</v>
      </c>
      <c r="F500" s="9" t="s">
        <v>150</v>
      </c>
      <c r="G500" s="20">
        <v>2646.4</v>
      </c>
      <c r="H500" s="20"/>
      <c r="I500" s="20">
        <v>2390.3</v>
      </c>
      <c r="J500" s="20"/>
      <c r="K500" s="38"/>
    </row>
    <row r="501" spans="1:11" ht="29.25">
      <c r="A501" s="6" t="s">
        <v>157</v>
      </c>
      <c r="B501" s="8" t="s">
        <v>246</v>
      </c>
      <c r="C501" s="8" t="s">
        <v>106</v>
      </c>
      <c r="D501" s="8" t="s">
        <v>111</v>
      </c>
      <c r="E501" s="8" t="s">
        <v>158</v>
      </c>
      <c r="F501" s="9"/>
      <c r="G501" s="20">
        <f>G502</f>
        <v>2834.8</v>
      </c>
      <c r="H501" s="20">
        <f>H502</f>
        <v>0</v>
      </c>
      <c r="I501" s="20">
        <f>I502</f>
        <v>2834.6</v>
      </c>
      <c r="J501" s="20">
        <f>J502</f>
        <v>0</v>
      </c>
      <c r="K501" s="38"/>
    </row>
    <row r="502" spans="1:11" ht="15.75">
      <c r="A502" s="7" t="s">
        <v>86</v>
      </c>
      <c r="B502" s="8" t="s">
        <v>246</v>
      </c>
      <c r="C502" s="8" t="s">
        <v>106</v>
      </c>
      <c r="D502" s="8" t="s">
        <v>111</v>
      </c>
      <c r="E502" s="8" t="s">
        <v>158</v>
      </c>
      <c r="F502" s="9" t="s">
        <v>150</v>
      </c>
      <c r="G502" s="20">
        <v>2834.8</v>
      </c>
      <c r="H502" s="20"/>
      <c r="I502" s="20">
        <v>2834.6</v>
      </c>
      <c r="J502" s="20"/>
      <c r="K502" s="38"/>
    </row>
    <row r="503" spans="1:11" ht="15.75">
      <c r="A503" s="13" t="s">
        <v>228</v>
      </c>
      <c r="B503" s="8" t="s">
        <v>246</v>
      </c>
      <c r="C503" s="8" t="s">
        <v>106</v>
      </c>
      <c r="D503" s="8" t="s">
        <v>187</v>
      </c>
      <c r="E503" s="8" t="s">
        <v>229</v>
      </c>
      <c r="F503" s="9"/>
      <c r="G503" s="20">
        <f>G504</f>
        <v>3</v>
      </c>
      <c r="H503" s="20">
        <f>H504</f>
        <v>0</v>
      </c>
      <c r="I503" s="20">
        <f>I504</f>
        <v>2.6</v>
      </c>
      <c r="J503" s="20">
        <f>J504</f>
        <v>0</v>
      </c>
      <c r="K503" s="38"/>
    </row>
    <row r="504" spans="1:11" ht="15.75">
      <c r="A504" s="7" t="s">
        <v>86</v>
      </c>
      <c r="B504" s="8" t="s">
        <v>246</v>
      </c>
      <c r="C504" s="8" t="s">
        <v>106</v>
      </c>
      <c r="D504" s="8" t="s">
        <v>187</v>
      </c>
      <c r="E504" s="8" t="s">
        <v>229</v>
      </c>
      <c r="F504" s="9" t="s">
        <v>150</v>
      </c>
      <c r="G504" s="20">
        <v>3</v>
      </c>
      <c r="H504" s="20"/>
      <c r="I504" s="20">
        <v>2.6</v>
      </c>
      <c r="J504" s="20"/>
      <c r="K504" s="38"/>
    </row>
    <row r="505" spans="1:11" ht="15.75">
      <c r="A505" s="10" t="s">
        <v>48</v>
      </c>
      <c r="B505" s="11" t="s">
        <v>246</v>
      </c>
      <c r="C505" s="11" t="s">
        <v>106</v>
      </c>
      <c r="D505" s="11" t="s">
        <v>187</v>
      </c>
      <c r="E505" s="11"/>
      <c r="F505" s="12"/>
      <c r="G505" s="19">
        <f>G506</f>
        <v>550.9</v>
      </c>
      <c r="H505" s="19">
        <f aca="true" t="shared" si="38" ref="H505:J507">H506</f>
        <v>0</v>
      </c>
      <c r="I505" s="19">
        <f t="shared" si="38"/>
        <v>426.7</v>
      </c>
      <c r="J505" s="19">
        <f t="shared" si="38"/>
        <v>0</v>
      </c>
      <c r="K505" s="37">
        <f>I505/G505*100</f>
        <v>77.45507351606462</v>
      </c>
    </row>
    <row r="506" spans="1:11" ht="15.75">
      <c r="A506" s="7" t="s">
        <v>78</v>
      </c>
      <c r="B506" s="8" t="s">
        <v>246</v>
      </c>
      <c r="C506" s="8" t="s">
        <v>106</v>
      </c>
      <c r="D506" s="8" t="s">
        <v>187</v>
      </c>
      <c r="E506" s="8" t="s">
        <v>79</v>
      </c>
      <c r="F506" s="9"/>
      <c r="G506" s="20">
        <f>G507</f>
        <v>550.9</v>
      </c>
      <c r="H506" s="20">
        <f t="shared" si="38"/>
        <v>0</v>
      </c>
      <c r="I506" s="20">
        <f t="shared" si="38"/>
        <v>426.7</v>
      </c>
      <c r="J506" s="20">
        <f t="shared" si="38"/>
        <v>0</v>
      </c>
      <c r="K506" s="37"/>
    </row>
    <row r="507" spans="1:11" ht="43.5">
      <c r="A507" s="6" t="s">
        <v>210</v>
      </c>
      <c r="B507" s="8" t="s">
        <v>246</v>
      </c>
      <c r="C507" s="8" t="s">
        <v>106</v>
      </c>
      <c r="D507" s="8" t="s">
        <v>187</v>
      </c>
      <c r="E507" s="8" t="s">
        <v>128</v>
      </c>
      <c r="F507" s="9"/>
      <c r="G507" s="20">
        <f>G508</f>
        <v>550.9</v>
      </c>
      <c r="H507" s="20">
        <f t="shared" si="38"/>
        <v>0</v>
      </c>
      <c r="I507" s="20">
        <f t="shared" si="38"/>
        <v>426.7</v>
      </c>
      <c r="J507" s="20">
        <f t="shared" si="38"/>
        <v>0</v>
      </c>
      <c r="K507" s="38"/>
    </row>
    <row r="508" spans="1:11" ht="21" customHeight="1">
      <c r="A508" s="7" t="s">
        <v>86</v>
      </c>
      <c r="B508" s="8" t="s">
        <v>246</v>
      </c>
      <c r="C508" s="8" t="s">
        <v>106</v>
      </c>
      <c r="D508" s="8" t="s">
        <v>187</v>
      </c>
      <c r="E508" s="8" t="s">
        <v>128</v>
      </c>
      <c r="F508" s="9" t="s">
        <v>150</v>
      </c>
      <c r="G508" s="20">
        <f>784.1+525-597.9-264.5+104.2</f>
        <v>550.9</v>
      </c>
      <c r="H508" s="20"/>
      <c r="I508" s="20">
        <v>426.7</v>
      </c>
      <c r="J508" s="20"/>
      <c r="K508" s="38"/>
    </row>
    <row r="509" spans="1:43" s="1" customFormat="1" ht="30">
      <c r="A509" s="43" t="s">
        <v>264</v>
      </c>
      <c r="B509" s="11" t="s">
        <v>196</v>
      </c>
      <c r="C509" s="11"/>
      <c r="D509" s="11"/>
      <c r="E509" s="11"/>
      <c r="F509" s="12"/>
      <c r="G509" s="19">
        <f>G510+G522+G533+G543+G527</f>
        <v>14328.899999999998</v>
      </c>
      <c r="H509" s="19">
        <f>H510+H522+H533+H543+H527</f>
        <v>0</v>
      </c>
      <c r="I509" s="19">
        <f>I510+I522+I533+I543+I527</f>
        <v>14194.6</v>
      </c>
      <c r="J509" s="19">
        <f>J510+J522+J533+J543+J527</f>
        <v>0</v>
      </c>
      <c r="K509" s="37">
        <f>I509/G509*100</f>
        <v>99.06273335706162</v>
      </c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1:43" s="1" customFormat="1" ht="15.75">
      <c r="A510" s="10" t="s">
        <v>9</v>
      </c>
      <c r="B510" s="11" t="s">
        <v>196</v>
      </c>
      <c r="C510" s="11" t="s">
        <v>106</v>
      </c>
      <c r="D510" s="11"/>
      <c r="E510" s="11"/>
      <c r="F510" s="12"/>
      <c r="G510" s="19">
        <f>G511</f>
        <v>9610.599999999999</v>
      </c>
      <c r="H510" s="19">
        <f>H511</f>
        <v>0</v>
      </c>
      <c r="I510" s="19">
        <f>I511</f>
        <v>9511.1</v>
      </c>
      <c r="J510" s="19">
        <f>J511</f>
        <v>0</v>
      </c>
      <c r="K510" s="37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1:43" s="1" customFormat="1" ht="15.75">
      <c r="A511" s="10" t="s">
        <v>48</v>
      </c>
      <c r="B511" s="11" t="s">
        <v>196</v>
      </c>
      <c r="C511" s="11" t="s">
        <v>106</v>
      </c>
      <c r="D511" s="11" t="s">
        <v>187</v>
      </c>
      <c r="E511" s="11"/>
      <c r="F511" s="12"/>
      <c r="G511" s="19">
        <f>G512+G517</f>
        <v>9610.599999999999</v>
      </c>
      <c r="H511" s="19">
        <f>H512+H517</f>
        <v>0</v>
      </c>
      <c r="I511" s="19">
        <f>I512+I517</f>
        <v>9511.1</v>
      </c>
      <c r="J511" s="19">
        <f>J512+J517</f>
        <v>0</v>
      </c>
      <c r="K511" s="37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1:43" s="1" customFormat="1" ht="15.75">
      <c r="A512" s="7" t="s">
        <v>10</v>
      </c>
      <c r="B512" s="8" t="s">
        <v>196</v>
      </c>
      <c r="C512" s="8" t="s">
        <v>106</v>
      </c>
      <c r="D512" s="8" t="s">
        <v>187</v>
      </c>
      <c r="E512" s="8" t="s">
        <v>149</v>
      </c>
      <c r="F512" s="9"/>
      <c r="G512" s="20">
        <f>G513+G515</f>
        <v>8565.9</v>
      </c>
      <c r="H512" s="20">
        <f>H513+H515</f>
        <v>0</v>
      </c>
      <c r="I512" s="20">
        <f>I513+I515</f>
        <v>8473</v>
      </c>
      <c r="J512" s="20">
        <f>J513+J515</f>
        <v>0</v>
      </c>
      <c r="K512" s="38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1:43" s="1" customFormat="1" ht="15.75">
      <c r="A513" s="7" t="s">
        <v>33</v>
      </c>
      <c r="B513" s="8" t="s">
        <v>196</v>
      </c>
      <c r="C513" s="8" t="s">
        <v>106</v>
      </c>
      <c r="D513" s="8" t="s">
        <v>187</v>
      </c>
      <c r="E513" s="8" t="s">
        <v>151</v>
      </c>
      <c r="F513" s="9"/>
      <c r="G513" s="20">
        <f>G514</f>
        <v>8548.5</v>
      </c>
      <c r="H513" s="20">
        <f>H514</f>
        <v>0</v>
      </c>
      <c r="I513" s="20">
        <f>I514</f>
        <v>8455.7</v>
      </c>
      <c r="J513" s="20">
        <f>J514</f>
        <v>0</v>
      </c>
      <c r="K513" s="38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1:43" s="1" customFormat="1" ht="15.75">
      <c r="A514" s="7" t="s">
        <v>86</v>
      </c>
      <c r="B514" s="8" t="s">
        <v>196</v>
      </c>
      <c r="C514" s="8" t="s">
        <v>106</v>
      </c>
      <c r="D514" s="8" t="s">
        <v>187</v>
      </c>
      <c r="E514" s="8" t="s">
        <v>151</v>
      </c>
      <c r="F514" s="9" t="s">
        <v>150</v>
      </c>
      <c r="G514" s="20">
        <v>8548.5</v>
      </c>
      <c r="H514" s="20"/>
      <c r="I514" s="20">
        <v>8455.7</v>
      </c>
      <c r="J514" s="20"/>
      <c r="K514" s="38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1:43" s="1" customFormat="1" ht="15.75">
      <c r="A515" s="13" t="s">
        <v>228</v>
      </c>
      <c r="B515" s="8" t="s">
        <v>196</v>
      </c>
      <c r="C515" s="8" t="s">
        <v>106</v>
      </c>
      <c r="D515" s="8" t="s">
        <v>187</v>
      </c>
      <c r="E515" s="8" t="s">
        <v>229</v>
      </c>
      <c r="F515" s="9"/>
      <c r="G515" s="20">
        <f>G516</f>
        <v>17.4</v>
      </c>
      <c r="H515" s="20">
        <f>H516</f>
        <v>0</v>
      </c>
      <c r="I515" s="20">
        <f>I516</f>
        <v>17.3</v>
      </c>
      <c r="J515" s="20">
        <f>J516</f>
        <v>0</v>
      </c>
      <c r="K515" s="38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1:43" s="1" customFormat="1" ht="15.75">
      <c r="A516" s="7" t="s">
        <v>86</v>
      </c>
      <c r="B516" s="8" t="s">
        <v>196</v>
      </c>
      <c r="C516" s="8" t="s">
        <v>106</v>
      </c>
      <c r="D516" s="8" t="s">
        <v>187</v>
      </c>
      <c r="E516" s="8" t="s">
        <v>229</v>
      </c>
      <c r="F516" s="9" t="s">
        <v>150</v>
      </c>
      <c r="G516" s="20">
        <v>17.4</v>
      </c>
      <c r="H516" s="20"/>
      <c r="I516" s="20">
        <v>17.3</v>
      </c>
      <c r="J516" s="20"/>
      <c r="K516" s="38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1:43" s="1" customFormat="1" ht="15.75">
      <c r="A517" s="7" t="s">
        <v>78</v>
      </c>
      <c r="B517" s="8" t="s">
        <v>196</v>
      </c>
      <c r="C517" s="8" t="s">
        <v>106</v>
      </c>
      <c r="D517" s="8" t="s">
        <v>187</v>
      </c>
      <c r="E517" s="8" t="s">
        <v>79</v>
      </c>
      <c r="F517" s="9"/>
      <c r="G517" s="20">
        <f>G518+G520</f>
        <v>1044.6999999999998</v>
      </c>
      <c r="H517" s="20">
        <f>H518+H520</f>
        <v>0</v>
      </c>
      <c r="I517" s="20">
        <f>I518+I520</f>
        <v>1038.1</v>
      </c>
      <c r="J517" s="20">
        <f>J518+J520</f>
        <v>0</v>
      </c>
      <c r="K517" s="38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1:43" s="1" customFormat="1" ht="43.5">
      <c r="A518" s="6" t="s">
        <v>210</v>
      </c>
      <c r="B518" s="8" t="s">
        <v>196</v>
      </c>
      <c r="C518" s="8" t="s">
        <v>106</v>
      </c>
      <c r="D518" s="8" t="s">
        <v>187</v>
      </c>
      <c r="E518" s="8" t="s">
        <v>128</v>
      </c>
      <c r="F518" s="9"/>
      <c r="G518" s="20">
        <f>G519</f>
        <v>694.6999999999998</v>
      </c>
      <c r="H518" s="20">
        <f>H519</f>
        <v>0</v>
      </c>
      <c r="I518" s="20">
        <f>I519</f>
        <v>688.5</v>
      </c>
      <c r="J518" s="20">
        <f>J519</f>
        <v>0</v>
      </c>
      <c r="K518" s="3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1:43" s="1" customFormat="1" ht="15.75">
      <c r="A519" s="7" t="s">
        <v>86</v>
      </c>
      <c r="B519" s="8" t="s">
        <v>196</v>
      </c>
      <c r="C519" s="8" t="s">
        <v>106</v>
      </c>
      <c r="D519" s="8" t="s">
        <v>187</v>
      </c>
      <c r="E519" s="8" t="s">
        <v>128</v>
      </c>
      <c r="F519" s="9" t="s">
        <v>150</v>
      </c>
      <c r="G519" s="20">
        <f>1562.1+1178.1-1828-552.1+22.1+312.5</f>
        <v>694.6999999999998</v>
      </c>
      <c r="H519" s="20"/>
      <c r="I519" s="20">
        <v>688.5</v>
      </c>
      <c r="J519" s="20"/>
      <c r="K519" s="38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1:43" s="1" customFormat="1" ht="85.5">
      <c r="A520" s="5" t="s">
        <v>201</v>
      </c>
      <c r="B520" s="8" t="s">
        <v>196</v>
      </c>
      <c r="C520" s="8" t="s">
        <v>106</v>
      </c>
      <c r="D520" s="8" t="s">
        <v>187</v>
      </c>
      <c r="E520" s="8" t="s">
        <v>202</v>
      </c>
      <c r="F520" s="9"/>
      <c r="G520" s="20">
        <f>G521</f>
        <v>350</v>
      </c>
      <c r="H520" s="20">
        <f>H521</f>
        <v>0</v>
      </c>
      <c r="I520" s="20">
        <f>I521</f>
        <v>349.6</v>
      </c>
      <c r="J520" s="20">
        <f>J521</f>
        <v>0</v>
      </c>
      <c r="K520" s="38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1:43" s="1" customFormat="1" ht="15.75">
      <c r="A521" s="7" t="s">
        <v>86</v>
      </c>
      <c r="B521" s="8" t="s">
        <v>196</v>
      </c>
      <c r="C521" s="8" t="s">
        <v>106</v>
      </c>
      <c r="D521" s="8" t="s">
        <v>187</v>
      </c>
      <c r="E521" s="8" t="s">
        <v>202</v>
      </c>
      <c r="F521" s="9" t="s">
        <v>150</v>
      </c>
      <c r="G521" s="20">
        <v>350</v>
      </c>
      <c r="H521" s="20"/>
      <c r="I521" s="20">
        <v>349.6</v>
      </c>
      <c r="J521" s="20"/>
      <c r="K521" s="38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1:43" s="1" customFormat="1" ht="30">
      <c r="A522" s="35" t="s">
        <v>71</v>
      </c>
      <c r="B522" s="11" t="s">
        <v>196</v>
      </c>
      <c r="C522" s="11" t="s">
        <v>111</v>
      </c>
      <c r="D522" s="11"/>
      <c r="E522" s="11"/>
      <c r="F522" s="12"/>
      <c r="G522" s="19">
        <f>G523</f>
        <v>300</v>
      </c>
      <c r="H522" s="19">
        <f aca="true" t="shared" si="39" ref="H522:J525">H523</f>
        <v>0</v>
      </c>
      <c r="I522" s="19">
        <f t="shared" si="39"/>
        <v>299.8</v>
      </c>
      <c r="J522" s="19">
        <f t="shared" si="39"/>
        <v>0</v>
      </c>
      <c r="K522" s="37">
        <f>I522/G522*100</f>
        <v>99.93333333333334</v>
      </c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1:43" s="1" customFormat="1" ht="30">
      <c r="A523" s="35" t="s">
        <v>66</v>
      </c>
      <c r="B523" s="11" t="s">
        <v>196</v>
      </c>
      <c r="C523" s="11" t="s">
        <v>111</v>
      </c>
      <c r="D523" s="11" t="s">
        <v>110</v>
      </c>
      <c r="E523" s="11"/>
      <c r="F523" s="12"/>
      <c r="G523" s="19">
        <f>G524</f>
        <v>300</v>
      </c>
      <c r="H523" s="19">
        <f t="shared" si="39"/>
        <v>0</v>
      </c>
      <c r="I523" s="19">
        <f t="shared" si="39"/>
        <v>299.8</v>
      </c>
      <c r="J523" s="19">
        <f t="shared" si="39"/>
        <v>0</v>
      </c>
      <c r="K523" s="37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1:43" s="1" customFormat="1" ht="15.75">
      <c r="A524" s="7" t="s">
        <v>78</v>
      </c>
      <c r="B524" s="8" t="s">
        <v>196</v>
      </c>
      <c r="C524" s="8" t="s">
        <v>111</v>
      </c>
      <c r="D524" s="8" t="s">
        <v>110</v>
      </c>
      <c r="E524" s="8" t="s">
        <v>79</v>
      </c>
      <c r="F524" s="9"/>
      <c r="G524" s="20">
        <f>G525</f>
        <v>300</v>
      </c>
      <c r="H524" s="20">
        <f t="shared" si="39"/>
        <v>0</v>
      </c>
      <c r="I524" s="20">
        <f t="shared" si="39"/>
        <v>299.8</v>
      </c>
      <c r="J524" s="20">
        <f t="shared" si="39"/>
        <v>0</v>
      </c>
      <c r="K524" s="38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1:43" s="1" customFormat="1" ht="43.5">
      <c r="A525" s="6" t="s">
        <v>243</v>
      </c>
      <c r="B525" s="8" t="s">
        <v>196</v>
      </c>
      <c r="C525" s="8" t="s">
        <v>111</v>
      </c>
      <c r="D525" s="8" t="s">
        <v>110</v>
      </c>
      <c r="E525" s="8" t="s">
        <v>142</v>
      </c>
      <c r="F525" s="9"/>
      <c r="G525" s="20">
        <f>G526</f>
        <v>300</v>
      </c>
      <c r="H525" s="20">
        <f t="shared" si="39"/>
        <v>0</v>
      </c>
      <c r="I525" s="20">
        <f t="shared" si="39"/>
        <v>299.8</v>
      </c>
      <c r="J525" s="20">
        <f t="shared" si="39"/>
        <v>0</v>
      </c>
      <c r="K525" s="38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1:43" s="1" customFormat="1" ht="15.75">
      <c r="A526" s="7" t="s">
        <v>86</v>
      </c>
      <c r="B526" s="8" t="s">
        <v>196</v>
      </c>
      <c r="C526" s="8" t="s">
        <v>111</v>
      </c>
      <c r="D526" s="8" t="s">
        <v>110</v>
      </c>
      <c r="E526" s="8" t="s">
        <v>142</v>
      </c>
      <c r="F526" s="9" t="s">
        <v>150</v>
      </c>
      <c r="G526" s="20">
        <v>300</v>
      </c>
      <c r="H526" s="20"/>
      <c r="I526" s="20">
        <v>299.8</v>
      </c>
      <c r="J526" s="20"/>
      <c r="K526" s="38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1:43" s="1" customFormat="1" ht="19.5" customHeight="1">
      <c r="A527" s="10" t="s">
        <v>38</v>
      </c>
      <c r="B527" s="11" t="s">
        <v>196</v>
      </c>
      <c r="C527" s="11" t="s">
        <v>108</v>
      </c>
      <c r="D527" s="8"/>
      <c r="E527" s="8"/>
      <c r="F527" s="9"/>
      <c r="G527" s="20">
        <f>G528</f>
        <v>0</v>
      </c>
      <c r="H527" s="20">
        <f aca="true" t="shared" si="40" ref="H527:J531">H528</f>
        <v>0</v>
      </c>
      <c r="I527" s="20">
        <f t="shared" si="40"/>
        <v>0</v>
      </c>
      <c r="J527" s="20">
        <f t="shared" si="40"/>
        <v>0</v>
      </c>
      <c r="K527" s="38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1:43" s="1" customFormat="1" ht="19.5" customHeight="1">
      <c r="A528" s="10" t="s">
        <v>61</v>
      </c>
      <c r="B528" s="11" t="s">
        <v>196</v>
      </c>
      <c r="C528" s="11" t="s">
        <v>108</v>
      </c>
      <c r="D528" s="11" t="s">
        <v>112</v>
      </c>
      <c r="E528" s="11"/>
      <c r="F528" s="12"/>
      <c r="G528" s="20">
        <f>G529</f>
        <v>0</v>
      </c>
      <c r="H528" s="20">
        <f t="shared" si="40"/>
        <v>0</v>
      </c>
      <c r="I528" s="20">
        <f t="shared" si="40"/>
        <v>0</v>
      </c>
      <c r="J528" s="20">
        <f t="shared" si="40"/>
        <v>0</v>
      </c>
      <c r="K528" s="3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1:43" s="1" customFormat="1" ht="19.5" customHeight="1">
      <c r="A529" s="7" t="s">
        <v>61</v>
      </c>
      <c r="B529" s="8" t="s">
        <v>196</v>
      </c>
      <c r="C529" s="8" t="s">
        <v>108</v>
      </c>
      <c r="D529" s="8" t="s">
        <v>112</v>
      </c>
      <c r="E529" s="8" t="s">
        <v>116</v>
      </c>
      <c r="F529" s="9"/>
      <c r="G529" s="20">
        <f>G530</f>
        <v>0</v>
      </c>
      <c r="H529" s="20">
        <f t="shared" si="40"/>
        <v>0</v>
      </c>
      <c r="I529" s="20">
        <f t="shared" si="40"/>
        <v>0</v>
      </c>
      <c r="J529" s="20">
        <f t="shared" si="40"/>
        <v>0</v>
      </c>
      <c r="K529" s="38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1:43" s="1" customFormat="1" ht="15.75">
      <c r="A530" s="7" t="s">
        <v>117</v>
      </c>
      <c r="B530" s="8" t="s">
        <v>196</v>
      </c>
      <c r="C530" s="8" t="s">
        <v>108</v>
      </c>
      <c r="D530" s="8" t="s">
        <v>112</v>
      </c>
      <c r="E530" s="8" t="s">
        <v>118</v>
      </c>
      <c r="F530" s="9"/>
      <c r="G530" s="20">
        <f>G531</f>
        <v>0</v>
      </c>
      <c r="H530" s="20">
        <f t="shared" si="40"/>
        <v>0</v>
      </c>
      <c r="I530" s="20">
        <f t="shared" si="40"/>
        <v>0</v>
      </c>
      <c r="J530" s="20">
        <f t="shared" si="40"/>
        <v>0</v>
      </c>
      <c r="K530" s="38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1:43" s="1" customFormat="1" ht="15.75">
      <c r="A531" s="7" t="s">
        <v>159</v>
      </c>
      <c r="B531" s="8" t="s">
        <v>196</v>
      </c>
      <c r="C531" s="8" t="s">
        <v>108</v>
      </c>
      <c r="D531" s="8" t="s">
        <v>112</v>
      </c>
      <c r="E531" s="8" t="s">
        <v>160</v>
      </c>
      <c r="F531" s="9"/>
      <c r="G531" s="20">
        <f>G532</f>
        <v>0</v>
      </c>
      <c r="H531" s="20">
        <f t="shared" si="40"/>
        <v>0</v>
      </c>
      <c r="I531" s="20">
        <f t="shared" si="40"/>
        <v>0</v>
      </c>
      <c r="J531" s="20">
        <f t="shared" si="40"/>
        <v>0</v>
      </c>
      <c r="K531" s="38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1:43" s="1" customFormat="1" ht="15.75">
      <c r="A532" s="7" t="s">
        <v>86</v>
      </c>
      <c r="B532" s="8" t="s">
        <v>196</v>
      </c>
      <c r="C532" s="8" t="s">
        <v>108</v>
      </c>
      <c r="D532" s="8" t="s">
        <v>112</v>
      </c>
      <c r="E532" s="8" t="s">
        <v>160</v>
      </c>
      <c r="F532" s="9" t="s">
        <v>150</v>
      </c>
      <c r="G532" s="20">
        <f>136.3-136.3</f>
        <v>0</v>
      </c>
      <c r="H532" s="20"/>
      <c r="I532" s="20"/>
      <c r="J532" s="20"/>
      <c r="K532" s="38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1:43" s="1" customFormat="1" ht="15.75">
      <c r="A533" s="10" t="s">
        <v>12</v>
      </c>
      <c r="B533" s="11" t="s">
        <v>196</v>
      </c>
      <c r="C533" s="11" t="s">
        <v>119</v>
      </c>
      <c r="D533" s="8"/>
      <c r="E533" s="8"/>
      <c r="F533" s="9"/>
      <c r="G533" s="20">
        <f>G537+G534</f>
        <v>3818.3</v>
      </c>
      <c r="H533" s="20">
        <f>H537+H534</f>
        <v>0</v>
      </c>
      <c r="I533" s="20">
        <f>I537+I534</f>
        <v>3789.5</v>
      </c>
      <c r="J533" s="20">
        <f>J537+J534</f>
        <v>0</v>
      </c>
      <c r="K533" s="38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1:43" s="1" customFormat="1" ht="15.75">
      <c r="A534" s="6" t="s">
        <v>446</v>
      </c>
      <c r="B534" s="8" t="s">
        <v>196</v>
      </c>
      <c r="C534" s="8" t="s">
        <v>119</v>
      </c>
      <c r="D534" s="8" t="s">
        <v>107</v>
      </c>
      <c r="E534" s="8" t="s">
        <v>447</v>
      </c>
      <c r="F534" s="12"/>
      <c r="G534" s="20">
        <f>G535</f>
        <v>0</v>
      </c>
      <c r="H534" s="20">
        <f aca="true" t="shared" si="41" ref="H534:J535">H535</f>
        <v>0</v>
      </c>
      <c r="I534" s="20">
        <f t="shared" si="41"/>
        <v>0</v>
      </c>
      <c r="J534" s="20">
        <f t="shared" si="41"/>
        <v>0</v>
      </c>
      <c r="K534" s="38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1:43" s="1" customFormat="1" ht="15.75">
      <c r="A535" s="6" t="s">
        <v>448</v>
      </c>
      <c r="B535" s="8" t="s">
        <v>196</v>
      </c>
      <c r="C535" s="8" t="s">
        <v>119</v>
      </c>
      <c r="D535" s="8" t="s">
        <v>107</v>
      </c>
      <c r="E535" s="8" t="s">
        <v>449</v>
      </c>
      <c r="F535" s="12"/>
      <c r="G535" s="20">
        <f>G536</f>
        <v>0</v>
      </c>
      <c r="H535" s="20">
        <f t="shared" si="41"/>
        <v>0</v>
      </c>
      <c r="I535" s="20">
        <f t="shared" si="41"/>
        <v>0</v>
      </c>
      <c r="J535" s="20">
        <f t="shared" si="41"/>
        <v>0</v>
      </c>
      <c r="K535" s="38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1:43" s="1" customFormat="1" ht="15.75">
      <c r="A536" s="6" t="s">
        <v>86</v>
      </c>
      <c r="B536" s="8" t="s">
        <v>196</v>
      </c>
      <c r="C536" s="8" t="s">
        <v>119</v>
      </c>
      <c r="D536" s="8" t="s">
        <v>107</v>
      </c>
      <c r="E536" s="8" t="s">
        <v>449</v>
      </c>
      <c r="F536" s="9" t="s">
        <v>150</v>
      </c>
      <c r="G536" s="20">
        <v>0</v>
      </c>
      <c r="H536" s="20"/>
      <c r="I536" s="20"/>
      <c r="J536" s="20"/>
      <c r="K536" s="38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1:43" s="1" customFormat="1" ht="15.75">
      <c r="A537" s="10" t="s">
        <v>80</v>
      </c>
      <c r="B537" s="11" t="s">
        <v>196</v>
      </c>
      <c r="C537" s="11" t="s">
        <v>119</v>
      </c>
      <c r="D537" s="11" t="s">
        <v>111</v>
      </c>
      <c r="E537" s="11"/>
      <c r="F537" s="12"/>
      <c r="G537" s="20">
        <f>G538</f>
        <v>3818.3</v>
      </c>
      <c r="H537" s="20">
        <f>H538</f>
        <v>0</v>
      </c>
      <c r="I537" s="20">
        <f>I538</f>
        <v>3789.5</v>
      </c>
      <c r="J537" s="20">
        <f>J538</f>
        <v>0</v>
      </c>
      <c r="K537" s="38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1:43" s="1" customFormat="1" ht="15.75">
      <c r="A538" s="7" t="s">
        <v>78</v>
      </c>
      <c r="B538" s="8" t="s">
        <v>196</v>
      </c>
      <c r="C538" s="8" t="s">
        <v>119</v>
      </c>
      <c r="D538" s="8" t="s">
        <v>111</v>
      </c>
      <c r="E538" s="8" t="s">
        <v>79</v>
      </c>
      <c r="F538" s="9"/>
      <c r="G538" s="20">
        <f>G539+G542</f>
        <v>3818.3</v>
      </c>
      <c r="H538" s="20">
        <f>H539+H542</f>
        <v>0</v>
      </c>
      <c r="I538" s="20">
        <f>I539+I542</f>
        <v>3789.5</v>
      </c>
      <c r="J538" s="20">
        <f>J539+J542</f>
        <v>0</v>
      </c>
      <c r="K538" s="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1:43" s="1" customFormat="1" ht="29.25">
      <c r="A539" s="6" t="s">
        <v>250</v>
      </c>
      <c r="B539" s="8" t="s">
        <v>196</v>
      </c>
      <c r="C539" s="8" t="s">
        <v>119</v>
      </c>
      <c r="D539" s="8" t="s">
        <v>111</v>
      </c>
      <c r="E539" s="8" t="s">
        <v>253</v>
      </c>
      <c r="F539" s="9"/>
      <c r="G539" s="20">
        <f>G540</f>
        <v>3682</v>
      </c>
      <c r="H539" s="20">
        <f>H540</f>
        <v>0</v>
      </c>
      <c r="I539" s="20">
        <f>I540</f>
        <v>3667.2</v>
      </c>
      <c r="J539" s="20">
        <f>J540</f>
        <v>0</v>
      </c>
      <c r="K539" s="38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1:43" s="1" customFormat="1" ht="15.75">
      <c r="A540" s="7" t="s">
        <v>86</v>
      </c>
      <c r="B540" s="8" t="s">
        <v>196</v>
      </c>
      <c r="C540" s="8" t="s">
        <v>119</v>
      </c>
      <c r="D540" s="8" t="s">
        <v>111</v>
      </c>
      <c r="E540" s="8" t="s">
        <v>253</v>
      </c>
      <c r="F540" s="9" t="s">
        <v>150</v>
      </c>
      <c r="G540" s="20">
        <f>2900+200+582</f>
        <v>3682</v>
      </c>
      <c r="H540" s="20"/>
      <c r="I540" s="20">
        <v>3667.2</v>
      </c>
      <c r="J540" s="20"/>
      <c r="K540" s="38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1:43" s="1" customFormat="1" ht="80.25" customHeight="1">
      <c r="A541" s="6" t="s">
        <v>472</v>
      </c>
      <c r="B541" s="8" t="s">
        <v>196</v>
      </c>
      <c r="C541" s="8" t="s">
        <v>119</v>
      </c>
      <c r="D541" s="8" t="s">
        <v>111</v>
      </c>
      <c r="E541" s="8" t="s">
        <v>262</v>
      </c>
      <c r="F541" s="9"/>
      <c r="G541" s="20">
        <f>G542</f>
        <v>136.3</v>
      </c>
      <c r="H541" s="20">
        <f>H542</f>
        <v>0</v>
      </c>
      <c r="I541" s="20">
        <f>I542</f>
        <v>122.3</v>
      </c>
      <c r="J541" s="20">
        <f>J542</f>
        <v>0</v>
      </c>
      <c r="K541" s="38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1:43" s="1" customFormat="1" ht="15.75">
      <c r="A542" s="7" t="s">
        <v>86</v>
      </c>
      <c r="B542" s="8" t="s">
        <v>196</v>
      </c>
      <c r="C542" s="8" t="s">
        <v>119</v>
      </c>
      <c r="D542" s="8" t="s">
        <v>111</v>
      </c>
      <c r="E542" s="8" t="s">
        <v>262</v>
      </c>
      <c r="F542" s="9" t="s">
        <v>150</v>
      </c>
      <c r="G542" s="20">
        <v>136.3</v>
      </c>
      <c r="H542" s="20"/>
      <c r="I542" s="20">
        <v>122.3</v>
      </c>
      <c r="J542" s="20"/>
      <c r="K542" s="38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1:43" s="1" customFormat="1" ht="15.75">
      <c r="A543" s="10" t="s">
        <v>27</v>
      </c>
      <c r="B543" s="11" t="s">
        <v>196</v>
      </c>
      <c r="C543" s="11" t="s">
        <v>122</v>
      </c>
      <c r="D543" s="11"/>
      <c r="E543" s="11"/>
      <c r="F543" s="12"/>
      <c r="G543" s="19">
        <f>G544</f>
        <v>600</v>
      </c>
      <c r="H543" s="19">
        <f aca="true" t="shared" si="42" ref="H543:J546">H544</f>
        <v>0</v>
      </c>
      <c r="I543" s="19">
        <f t="shared" si="42"/>
        <v>594.2</v>
      </c>
      <c r="J543" s="19">
        <f t="shared" si="42"/>
        <v>0</v>
      </c>
      <c r="K543" s="37">
        <f>I543/G543*100</f>
        <v>99.03333333333335</v>
      </c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1:43" s="1" customFormat="1" ht="15.75">
      <c r="A544" s="10" t="s">
        <v>28</v>
      </c>
      <c r="B544" s="11" t="s">
        <v>196</v>
      </c>
      <c r="C544" s="11" t="s">
        <v>122</v>
      </c>
      <c r="D544" s="11" t="s">
        <v>119</v>
      </c>
      <c r="E544" s="11"/>
      <c r="F544" s="12"/>
      <c r="G544" s="20">
        <f>G545</f>
        <v>600</v>
      </c>
      <c r="H544" s="20">
        <f t="shared" si="42"/>
        <v>0</v>
      </c>
      <c r="I544" s="20">
        <f t="shared" si="42"/>
        <v>594.2</v>
      </c>
      <c r="J544" s="20">
        <f t="shared" si="42"/>
        <v>0</v>
      </c>
      <c r="K544" s="37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1:43" s="1" customFormat="1" ht="15.75">
      <c r="A545" s="7" t="s">
        <v>78</v>
      </c>
      <c r="B545" s="8" t="s">
        <v>196</v>
      </c>
      <c r="C545" s="8" t="s">
        <v>122</v>
      </c>
      <c r="D545" s="8" t="s">
        <v>119</v>
      </c>
      <c r="E545" s="8" t="s">
        <v>79</v>
      </c>
      <c r="F545" s="9"/>
      <c r="G545" s="20">
        <f>G546</f>
        <v>600</v>
      </c>
      <c r="H545" s="20">
        <f t="shared" si="42"/>
        <v>0</v>
      </c>
      <c r="I545" s="20">
        <f t="shared" si="42"/>
        <v>594.2</v>
      </c>
      <c r="J545" s="20">
        <f t="shared" si="42"/>
        <v>0</v>
      </c>
      <c r="K545" s="38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1:43" s="1" customFormat="1" ht="57.75">
      <c r="A546" s="15" t="s">
        <v>298</v>
      </c>
      <c r="B546" s="8" t="s">
        <v>196</v>
      </c>
      <c r="C546" s="8" t="s">
        <v>122</v>
      </c>
      <c r="D546" s="8" t="s">
        <v>119</v>
      </c>
      <c r="E546" s="8" t="s">
        <v>254</v>
      </c>
      <c r="F546" s="9"/>
      <c r="G546" s="20">
        <f>G547</f>
        <v>600</v>
      </c>
      <c r="H546" s="20">
        <f t="shared" si="42"/>
        <v>0</v>
      </c>
      <c r="I546" s="20">
        <f t="shared" si="42"/>
        <v>594.2</v>
      </c>
      <c r="J546" s="20">
        <f t="shared" si="42"/>
        <v>0</v>
      </c>
      <c r="K546" s="38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1:43" s="1" customFormat="1" ht="15.75">
      <c r="A547" s="7" t="s">
        <v>86</v>
      </c>
      <c r="B547" s="8" t="s">
        <v>196</v>
      </c>
      <c r="C547" s="8" t="s">
        <v>122</v>
      </c>
      <c r="D547" s="8" t="s">
        <v>119</v>
      </c>
      <c r="E547" s="8" t="s">
        <v>254</v>
      </c>
      <c r="F547" s="9" t="s">
        <v>150</v>
      </c>
      <c r="G547" s="20">
        <v>600</v>
      </c>
      <c r="H547" s="20"/>
      <c r="I547" s="20">
        <v>594.2</v>
      </c>
      <c r="J547" s="20"/>
      <c r="K547" s="38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1:43" s="2" customFormat="1" ht="30">
      <c r="A548" s="43" t="s">
        <v>265</v>
      </c>
      <c r="B548" s="11" t="s">
        <v>197</v>
      </c>
      <c r="C548" s="11"/>
      <c r="D548" s="11"/>
      <c r="E548" s="11"/>
      <c r="F548" s="12"/>
      <c r="G548" s="19">
        <f>G549</f>
        <v>17718.1</v>
      </c>
      <c r="H548" s="19">
        <f>H549</f>
        <v>0</v>
      </c>
      <c r="I548" s="19">
        <f>I549</f>
        <v>16865.7</v>
      </c>
      <c r="J548" s="19">
        <f>J549</f>
        <v>0</v>
      </c>
      <c r="K548" s="37">
        <f>I548/G548*100</f>
        <v>95.18910041144368</v>
      </c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1:11" ht="15.75">
      <c r="A549" s="10" t="s">
        <v>9</v>
      </c>
      <c r="B549" s="11" t="s">
        <v>197</v>
      </c>
      <c r="C549" s="11" t="s">
        <v>106</v>
      </c>
      <c r="D549" s="11"/>
      <c r="E549" s="11"/>
      <c r="F549" s="12"/>
      <c r="G549" s="19">
        <f>G550+G555</f>
        <v>17718.1</v>
      </c>
      <c r="H549" s="19">
        <f>H550+H555</f>
        <v>0</v>
      </c>
      <c r="I549" s="19">
        <f>I550+I555</f>
        <v>16865.7</v>
      </c>
      <c r="J549" s="19">
        <f>J550+J555</f>
        <v>0</v>
      </c>
      <c r="K549" s="37"/>
    </row>
    <row r="550" spans="1:11" ht="45">
      <c r="A550" s="35" t="s">
        <v>175</v>
      </c>
      <c r="B550" s="11" t="s">
        <v>197</v>
      </c>
      <c r="C550" s="11" t="s">
        <v>106</v>
      </c>
      <c r="D550" s="11" t="s">
        <v>122</v>
      </c>
      <c r="E550" s="11"/>
      <c r="F550" s="12"/>
      <c r="G550" s="19">
        <f>G551+G553</f>
        <v>15220.5</v>
      </c>
      <c r="H550" s="19">
        <f>H551+H553</f>
        <v>0</v>
      </c>
      <c r="I550" s="19">
        <f>I551+I553</f>
        <v>15087.4</v>
      </c>
      <c r="J550" s="19">
        <f>J551+J553</f>
        <v>0</v>
      </c>
      <c r="K550" s="37">
        <f>I550/G550*100</f>
        <v>99.12552150060773</v>
      </c>
    </row>
    <row r="551" spans="1:11" ht="15.75">
      <c r="A551" s="7" t="s">
        <v>33</v>
      </c>
      <c r="B551" s="8" t="s">
        <v>197</v>
      </c>
      <c r="C551" s="8" t="s">
        <v>106</v>
      </c>
      <c r="D551" s="8" t="s">
        <v>122</v>
      </c>
      <c r="E551" s="8" t="s">
        <v>151</v>
      </c>
      <c r="F551" s="9"/>
      <c r="G551" s="20">
        <f>G552</f>
        <v>15189.1</v>
      </c>
      <c r="H551" s="20">
        <f>H552</f>
        <v>0</v>
      </c>
      <c r="I551" s="20">
        <f>I552</f>
        <v>15074.8</v>
      </c>
      <c r="J551" s="20">
        <f>J552</f>
        <v>0</v>
      </c>
      <c r="K551" s="38"/>
    </row>
    <row r="552" spans="1:11" ht="15.75">
      <c r="A552" s="7" t="s">
        <v>86</v>
      </c>
      <c r="B552" s="8" t="s">
        <v>197</v>
      </c>
      <c r="C552" s="8" t="s">
        <v>106</v>
      </c>
      <c r="D552" s="8" t="s">
        <v>122</v>
      </c>
      <c r="E552" s="8" t="s">
        <v>151</v>
      </c>
      <c r="F552" s="9" t="s">
        <v>150</v>
      </c>
      <c r="G552" s="20">
        <v>15189.1</v>
      </c>
      <c r="H552" s="20"/>
      <c r="I552" s="20">
        <v>15074.8</v>
      </c>
      <c r="J552" s="20"/>
      <c r="K552" s="38"/>
    </row>
    <row r="553" spans="1:11" ht="15.75">
      <c r="A553" s="13" t="s">
        <v>228</v>
      </c>
      <c r="B553" s="8" t="s">
        <v>197</v>
      </c>
      <c r="C553" s="8" t="s">
        <v>106</v>
      </c>
      <c r="D553" s="8" t="s">
        <v>122</v>
      </c>
      <c r="E553" s="8" t="s">
        <v>229</v>
      </c>
      <c r="F553" s="9"/>
      <c r="G553" s="20">
        <f>G554</f>
        <v>31.4</v>
      </c>
      <c r="H553" s="20">
        <f>H554</f>
        <v>0</v>
      </c>
      <c r="I553" s="20">
        <f>I554</f>
        <v>12.6</v>
      </c>
      <c r="J553" s="20">
        <f>J554</f>
        <v>0</v>
      </c>
      <c r="K553" s="38"/>
    </row>
    <row r="554" spans="1:11" ht="15.75">
      <c r="A554" s="7" t="s">
        <v>86</v>
      </c>
      <c r="B554" s="8" t="s">
        <v>197</v>
      </c>
      <c r="C554" s="8" t="s">
        <v>106</v>
      </c>
      <c r="D554" s="8" t="s">
        <v>122</v>
      </c>
      <c r="E554" s="8" t="s">
        <v>229</v>
      </c>
      <c r="F554" s="9" t="s">
        <v>150</v>
      </c>
      <c r="G554" s="20">
        <v>31.4</v>
      </c>
      <c r="H554" s="20"/>
      <c r="I554" s="20">
        <v>12.6</v>
      </c>
      <c r="J554" s="20"/>
      <c r="K554" s="38"/>
    </row>
    <row r="555" spans="1:11" ht="15.75">
      <c r="A555" s="10" t="s">
        <v>48</v>
      </c>
      <c r="B555" s="11" t="s">
        <v>197</v>
      </c>
      <c r="C555" s="11" t="s">
        <v>106</v>
      </c>
      <c r="D555" s="11" t="s">
        <v>187</v>
      </c>
      <c r="E555" s="11"/>
      <c r="F555" s="12"/>
      <c r="G555" s="19">
        <f>G556</f>
        <v>2497.5999999999995</v>
      </c>
      <c r="H555" s="19">
        <f aca="true" t="shared" si="43" ref="H555:J557">H556</f>
        <v>0</v>
      </c>
      <c r="I555" s="19">
        <f t="shared" si="43"/>
        <v>1778.3</v>
      </c>
      <c r="J555" s="19">
        <f t="shared" si="43"/>
        <v>0</v>
      </c>
      <c r="K555" s="37">
        <f>I555/G555*100</f>
        <v>71.20035233824473</v>
      </c>
    </row>
    <row r="556" spans="1:11" ht="15.75">
      <c r="A556" s="7" t="s">
        <v>78</v>
      </c>
      <c r="B556" s="8" t="s">
        <v>197</v>
      </c>
      <c r="C556" s="8" t="s">
        <v>106</v>
      </c>
      <c r="D556" s="8" t="s">
        <v>187</v>
      </c>
      <c r="E556" s="8" t="s">
        <v>79</v>
      </c>
      <c r="F556" s="9"/>
      <c r="G556" s="20">
        <f>G557</f>
        <v>2497.5999999999995</v>
      </c>
      <c r="H556" s="20">
        <f t="shared" si="43"/>
        <v>0</v>
      </c>
      <c r="I556" s="20">
        <f t="shared" si="43"/>
        <v>1778.3</v>
      </c>
      <c r="J556" s="20">
        <f t="shared" si="43"/>
        <v>0</v>
      </c>
      <c r="K556" s="37"/>
    </row>
    <row r="557" spans="1:11" ht="43.5">
      <c r="A557" s="6" t="s">
        <v>210</v>
      </c>
      <c r="B557" s="8" t="s">
        <v>197</v>
      </c>
      <c r="C557" s="8" t="s">
        <v>106</v>
      </c>
      <c r="D557" s="8" t="s">
        <v>187</v>
      </c>
      <c r="E557" s="8" t="s">
        <v>128</v>
      </c>
      <c r="F557" s="9"/>
      <c r="G557" s="20">
        <f>G558</f>
        <v>2497.5999999999995</v>
      </c>
      <c r="H557" s="20">
        <f t="shared" si="43"/>
        <v>0</v>
      </c>
      <c r="I557" s="20">
        <f t="shared" si="43"/>
        <v>1778.3</v>
      </c>
      <c r="J557" s="20">
        <f t="shared" si="43"/>
        <v>0</v>
      </c>
      <c r="K557" s="38"/>
    </row>
    <row r="558" spans="1:11" ht="15.75">
      <c r="A558" s="7" t="s">
        <v>86</v>
      </c>
      <c r="B558" s="8" t="s">
        <v>197</v>
      </c>
      <c r="C558" s="8" t="s">
        <v>106</v>
      </c>
      <c r="D558" s="8" t="s">
        <v>187</v>
      </c>
      <c r="E558" s="8" t="s">
        <v>128</v>
      </c>
      <c r="F558" s="9" t="s">
        <v>150</v>
      </c>
      <c r="G558" s="20">
        <f>5111.8+1067.1-4514.6+833.3</f>
        <v>2497.5999999999995</v>
      </c>
      <c r="H558" s="20"/>
      <c r="I558" s="20">
        <v>1778.3</v>
      </c>
      <c r="J558" s="20"/>
      <c r="K558" s="38"/>
    </row>
    <row r="559" spans="1:11" ht="30">
      <c r="A559" s="43" t="s">
        <v>500</v>
      </c>
      <c r="B559" s="11" t="s">
        <v>198</v>
      </c>
      <c r="C559" s="11"/>
      <c r="D559" s="11"/>
      <c r="E559" s="11"/>
      <c r="F559" s="12"/>
      <c r="G559" s="19">
        <f>G560+G574+G593+G578</f>
        <v>49816.200000000004</v>
      </c>
      <c r="H559" s="19">
        <f>H560+H574+H593+H578</f>
        <v>9303.7</v>
      </c>
      <c r="I559" s="19">
        <f>I560+I574+I593+I578</f>
        <v>29425.700000000004</v>
      </c>
      <c r="J559" s="19">
        <f>J560+J574+J593+J578</f>
        <v>0</v>
      </c>
      <c r="K559" s="37">
        <f>I559/G559*100</f>
        <v>59.06853593810849</v>
      </c>
    </row>
    <row r="560" spans="1:43" s="1" customFormat="1" ht="15.75">
      <c r="A560" s="10" t="s">
        <v>9</v>
      </c>
      <c r="B560" s="11" t="s">
        <v>198</v>
      </c>
      <c r="C560" s="11" t="s">
        <v>106</v>
      </c>
      <c r="D560" s="11"/>
      <c r="E560" s="11"/>
      <c r="F560" s="12"/>
      <c r="G560" s="19">
        <f>G561</f>
        <v>27748.2</v>
      </c>
      <c r="H560" s="19">
        <f>H561</f>
        <v>0</v>
      </c>
      <c r="I560" s="19">
        <f>I561</f>
        <v>26887.600000000002</v>
      </c>
      <c r="J560" s="19">
        <f>J561</f>
        <v>0</v>
      </c>
      <c r="K560" s="37">
        <f>I560/G560*100</f>
        <v>96.89853756279688</v>
      </c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1:11" ht="15.75">
      <c r="A561" s="10" t="s">
        <v>48</v>
      </c>
      <c r="B561" s="11" t="s">
        <v>198</v>
      </c>
      <c r="C561" s="11" t="s">
        <v>106</v>
      </c>
      <c r="D561" s="11" t="s">
        <v>187</v>
      </c>
      <c r="E561" s="11"/>
      <c r="F561" s="12"/>
      <c r="G561" s="19">
        <f>G562+G567+G570</f>
        <v>27748.2</v>
      </c>
      <c r="H561" s="19">
        <f>H562+H567+H570</f>
        <v>0</v>
      </c>
      <c r="I561" s="19">
        <f>I562+I567+I570</f>
        <v>26887.600000000002</v>
      </c>
      <c r="J561" s="19">
        <f>J562+J567+J570</f>
        <v>0</v>
      </c>
      <c r="K561" s="37">
        <f>I561/G561*100</f>
        <v>96.89853756279688</v>
      </c>
    </row>
    <row r="562" spans="1:11" ht="43.5">
      <c r="A562" s="6" t="s">
        <v>153</v>
      </c>
      <c r="B562" s="8" t="s">
        <v>198</v>
      </c>
      <c r="C562" s="8" t="s">
        <v>106</v>
      </c>
      <c r="D562" s="8" t="s">
        <v>187</v>
      </c>
      <c r="E562" s="8" t="s">
        <v>149</v>
      </c>
      <c r="F562" s="9"/>
      <c r="G562" s="20">
        <f>G563+G565</f>
        <v>21484.5</v>
      </c>
      <c r="H562" s="20">
        <f>H563+H565</f>
        <v>0</v>
      </c>
      <c r="I562" s="20">
        <f>I563+I565</f>
        <v>20930.2</v>
      </c>
      <c r="J562" s="20">
        <f>J563+J565</f>
        <v>0</v>
      </c>
      <c r="K562" s="38"/>
    </row>
    <row r="563" spans="1:11" ht="15.75">
      <c r="A563" s="7" t="s">
        <v>33</v>
      </c>
      <c r="B563" s="8" t="s">
        <v>198</v>
      </c>
      <c r="C563" s="8" t="s">
        <v>106</v>
      </c>
      <c r="D563" s="8" t="s">
        <v>187</v>
      </c>
      <c r="E563" s="8" t="s">
        <v>151</v>
      </c>
      <c r="F563" s="9"/>
      <c r="G563" s="20">
        <f>G564</f>
        <v>21471.5</v>
      </c>
      <c r="H563" s="20">
        <f>H564</f>
        <v>0</v>
      </c>
      <c r="I563" s="20">
        <f>I564</f>
        <v>20930.2</v>
      </c>
      <c r="J563" s="20">
        <f>J564</f>
        <v>0</v>
      </c>
      <c r="K563" s="38"/>
    </row>
    <row r="564" spans="1:11" ht="15.75">
      <c r="A564" s="7" t="s">
        <v>86</v>
      </c>
      <c r="B564" s="8" t="s">
        <v>198</v>
      </c>
      <c r="C564" s="8" t="s">
        <v>106</v>
      </c>
      <c r="D564" s="8" t="s">
        <v>187</v>
      </c>
      <c r="E564" s="8" t="s">
        <v>151</v>
      </c>
      <c r="F564" s="9" t="s">
        <v>150</v>
      </c>
      <c r="G564" s="20">
        <v>21471.5</v>
      </c>
      <c r="H564" s="20"/>
      <c r="I564" s="20">
        <v>20930.2</v>
      </c>
      <c r="J564" s="20"/>
      <c r="K564" s="38"/>
    </row>
    <row r="565" spans="1:11" ht="15.75">
      <c r="A565" s="13" t="s">
        <v>228</v>
      </c>
      <c r="B565" s="8" t="s">
        <v>198</v>
      </c>
      <c r="C565" s="8" t="s">
        <v>106</v>
      </c>
      <c r="D565" s="8" t="s">
        <v>187</v>
      </c>
      <c r="E565" s="8" t="s">
        <v>229</v>
      </c>
      <c r="F565" s="9"/>
      <c r="G565" s="20">
        <f>G566</f>
        <v>13</v>
      </c>
      <c r="H565" s="20">
        <f>H566</f>
        <v>0</v>
      </c>
      <c r="I565" s="20">
        <f>I566</f>
        <v>0</v>
      </c>
      <c r="J565" s="20">
        <f>J566</f>
        <v>0</v>
      </c>
      <c r="K565" s="38"/>
    </row>
    <row r="566" spans="1:11" ht="15.75">
      <c r="A566" s="7" t="s">
        <v>86</v>
      </c>
      <c r="B566" s="8" t="s">
        <v>198</v>
      </c>
      <c r="C566" s="8" t="s">
        <v>106</v>
      </c>
      <c r="D566" s="8" t="s">
        <v>187</v>
      </c>
      <c r="E566" s="8" t="s">
        <v>229</v>
      </c>
      <c r="F566" s="9" t="s">
        <v>150</v>
      </c>
      <c r="G566" s="20">
        <v>13</v>
      </c>
      <c r="H566" s="20"/>
      <c r="I566" s="20"/>
      <c r="J566" s="20"/>
      <c r="K566" s="38"/>
    </row>
    <row r="567" spans="1:11" ht="29.25">
      <c r="A567" s="6" t="s">
        <v>121</v>
      </c>
      <c r="B567" s="8" t="s">
        <v>198</v>
      </c>
      <c r="C567" s="8" t="s">
        <v>106</v>
      </c>
      <c r="D567" s="8" t="s">
        <v>187</v>
      </c>
      <c r="E567" s="8" t="s">
        <v>81</v>
      </c>
      <c r="F567" s="9"/>
      <c r="G567" s="20">
        <f>G568</f>
        <v>3706</v>
      </c>
      <c r="H567" s="20">
        <f aca="true" t="shared" si="44" ref="H567:J568">H568</f>
        <v>0</v>
      </c>
      <c r="I567" s="20">
        <f t="shared" si="44"/>
        <v>3649.9</v>
      </c>
      <c r="J567" s="20">
        <f t="shared" si="44"/>
        <v>0</v>
      </c>
      <c r="K567" s="38"/>
    </row>
    <row r="568" spans="1:11" ht="15.75">
      <c r="A568" s="7" t="s">
        <v>45</v>
      </c>
      <c r="B568" s="8" t="s">
        <v>198</v>
      </c>
      <c r="C568" s="8" t="s">
        <v>106</v>
      </c>
      <c r="D568" s="8" t="s">
        <v>187</v>
      </c>
      <c r="E568" s="8" t="s">
        <v>120</v>
      </c>
      <c r="F568" s="9"/>
      <c r="G568" s="20">
        <f>G569</f>
        <v>3706</v>
      </c>
      <c r="H568" s="20">
        <f t="shared" si="44"/>
        <v>0</v>
      </c>
      <c r="I568" s="20">
        <f t="shared" si="44"/>
        <v>3649.9</v>
      </c>
      <c r="J568" s="20">
        <f t="shared" si="44"/>
        <v>0</v>
      </c>
      <c r="K568" s="38"/>
    </row>
    <row r="569" spans="1:11" ht="15.75">
      <c r="A569" s="7" t="s">
        <v>86</v>
      </c>
      <c r="B569" s="8" t="s">
        <v>198</v>
      </c>
      <c r="C569" s="8" t="s">
        <v>106</v>
      </c>
      <c r="D569" s="8" t="s">
        <v>187</v>
      </c>
      <c r="E569" s="8" t="s">
        <v>120</v>
      </c>
      <c r="F569" s="9" t="s">
        <v>150</v>
      </c>
      <c r="G569" s="20">
        <v>3706</v>
      </c>
      <c r="H569" s="20"/>
      <c r="I569" s="20">
        <v>3649.9</v>
      </c>
      <c r="J569" s="20"/>
      <c r="K569" s="38"/>
    </row>
    <row r="570" spans="1:11" ht="15.75">
      <c r="A570" s="7" t="s">
        <v>78</v>
      </c>
      <c r="B570" s="8" t="s">
        <v>198</v>
      </c>
      <c r="C570" s="8" t="s">
        <v>106</v>
      </c>
      <c r="D570" s="8" t="s">
        <v>187</v>
      </c>
      <c r="E570" s="8" t="s">
        <v>79</v>
      </c>
      <c r="F570" s="9"/>
      <c r="G570" s="20">
        <f>G571</f>
        <v>2557.7</v>
      </c>
      <c r="H570" s="20">
        <f aca="true" t="shared" si="45" ref="H570:J571">H571</f>
        <v>0</v>
      </c>
      <c r="I570" s="20">
        <f t="shared" si="45"/>
        <v>2307.5</v>
      </c>
      <c r="J570" s="20">
        <f t="shared" si="45"/>
        <v>0</v>
      </c>
      <c r="K570" s="38"/>
    </row>
    <row r="571" spans="1:11" ht="43.5">
      <c r="A571" s="6" t="s">
        <v>210</v>
      </c>
      <c r="B571" s="8" t="s">
        <v>198</v>
      </c>
      <c r="C571" s="8" t="s">
        <v>106</v>
      </c>
      <c r="D571" s="8" t="s">
        <v>187</v>
      </c>
      <c r="E571" s="8" t="s">
        <v>128</v>
      </c>
      <c r="F571" s="9"/>
      <c r="G571" s="20">
        <f>G572</f>
        <v>2557.7</v>
      </c>
      <c r="H571" s="20">
        <f t="shared" si="45"/>
        <v>0</v>
      </c>
      <c r="I571" s="20">
        <f t="shared" si="45"/>
        <v>2307.5</v>
      </c>
      <c r="J571" s="20">
        <f t="shared" si="45"/>
        <v>0</v>
      </c>
      <c r="K571" s="38"/>
    </row>
    <row r="572" spans="1:11" ht="15.75">
      <c r="A572" s="7" t="s">
        <v>86</v>
      </c>
      <c r="B572" s="8" t="s">
        <v>198</v>
      </c>
      <c r="C572" s="8" t="s">
        <v>106</v>
      </c>
      <c r="D572" s="8" t="s">
        <v>187</v>
      </c>
      <c r="E572" s="8" t="s">
        <v>128</v>
      </c>
      <c r="F572" s="9" t="s">
        <v>150</v>
      </c>
      <c r="G572" s="20">
        <f>5635+1293.5-4197-1267.5+1093.7</f>
        <v>2557.7</v>
      </c>
      <c r="H572" s="20"/>
      <c r="I572" s="20">
        <v>2307.5</v>
      </c>
      <c r="J572" s="20"/>
      <c r="K572" s="38"/>
    </row>
    <row r="573" spans="1:11" ht="15.75">
      <c r="A573" s="10" t="s">
        <v>38</v>
      </c>
      <c r="B573" s="11" t="s">
        <v>198</v>
      </c>
      <c r="C573" s="11" t="s">
        <v>108</v>
      </c>
      <c r="D573" s="11"/>
      <c r="E573" s="11"/>
      <c r="F573" s="12"/>
      <c r="G573" s="19">
        <f>G574</f>
        <v>621</v>
      </c>
      <c r="H573" s="19">
        <f aca="true" t="shared" si="46" ref="H573:J576">H574</f>
        <v>0</v>
      </c>
      <c r="I573" s="19">
        <f t="shared" si="46"/>
        <v>587.2</v>
      </c>
      <c r="J573" s="19">
        <f t="shared" si="46"/>
        <v>0</v>
      </c>
      <c r="K573" s="37">
        <f>I573/G573*100</f>
        <v>94.5571658615137</v>
      </c>
    </row>
    <row r="574" spans="1:11" ht="15.75">
      <c r="A574" s="10" t="s">
        <v>39</v>
      </c>
      <c r="B574" s="11" t="s">
        <v>198</v>
      </c>
      <c r="C574" s="11" t="s">
        <v>108</v>
      </c>
      <c r="D574" s="11" t="s">
        <v>109</v>
      </c>
      <c r="E574" s="11"/>
      <c r="F574" s="12"/>
      <c r="G574" s="19">
        <f>G575</f>
        <v>621</v>
      </c>
      <c r="H574" s="19">
        <f t="shared" si="46"/>
        <v>0</v>
      </c>
      <c r="I574" s="19">
        <f t="shared" si="46"/>
        <v>587.2</v>
      </c>
      <c r="J574" s="19">
        <f t="shared" si="46"/>
        <v>0</v>
      </c>
      <c r="K574" s="37">
        <f>I574/G574*100</f>
        <v>94.5571658615137</v>
      </c>
    </row>
    <row r="575" spans="1:11" ht="31.5" customHeight="1">
      <c r="A575" s="6" t="s">
        <v>67</v>
      </c>
      <c r="B575" s="8" t="s">
        <v>198</v>
      </c>
      <c r="C575" s="8" t="s">
        <v>108</v>
      </c>
      <c r="D575" s="8" t="s">
        <v>109</v>
      </c>
      <c r="E575" s="8" t="s">
        <v>44</v>
      </c>
      <c r="F575" s="9"/>
      <c r="G575" s="20">
        <f>G576</f>
        <v>621</v>
      </c>
      <c r="H575" s="20">
        <f t="shared" si="46"/>
        <v>0</v>
      </c>
      <c r="I575" s="20">
        <f t="shared" si="46"/>
        <v>587.2</v>
      </c>
      <c r="J575" s="20">
        <f t="shared" si="46"/>
        <v>0</v>
      </c>
      <c r="K575" s="38"/>
    </row>
    <row r="576" spans="1:11" ht="15.75">
      <c r="A576" s="6" t="s">
        <v>173</v>
      </c>
      <c r="B576" s="8" t="s">
        <v>198</v>
      </c>
      <c r="C576" s="8" t="s">
        <v>108</v>
      </c>
      <c r="D576" s="8" t="s">
        <v>109</v>
      </c>
      <c r="E576" s="8" t="s">
        <v>174</v>
      </c>
      <c r="F576" s="9"/>
      <c r="G576" s="20">
        <f>G577</f>
        <v>621</v>
      </c>
      <c r="H576" s="20">
        <f t="shared" si="46"/>
        <v>0</v>
      </c>
      <c r="I576" s="20">
        <f t="shared" si="46"/>
        <v>587.2</v>
      </c>
      <c r="J576" s="20">
        <f t="shared" si="46"/>
        <v>0</v>
      </c>
      <c r="K576" s="38"/>
    </row>
    <row r="577" spans="1:11" ht="15.75">
      <c r="A577" s="7" t="s">
        <v>86</v>
      </c>
      <c r="B577" s="8" t="s">
        <v>198</v>
      </c>
      <c r="C577" s="8" t="s">
        <v>108</v>
      </c>
      <c r="D577" s="8" t="s">
        <v>109</v>
      </c>
      <c r="E577" s="8" t="s">
        <v>174</v>
      </c>
      <c r="F577" s="9" t="s">
        <v>150</v>
      </c>
      <c r="G577" s="20">
        <f>621+1000-1000</f>
        <v>621</v>
      </c>
      <c r="H577" s="20"/>
      <c r="I577" s="20">
        <v>587.2</v>
      </c>
      <c r="J577" s="20"/>
      <c r="K577" s="38"/>
    </row>
    <row r="578" spans="1:11" ht="15.75">
      <c r="A578" s="10" t="s">
        <v>12</v>
      </c>
      <c r="B578" s="11" t="s">
        <v>198</v>
      </c>
      <c r="C578" s="11" t="s">
        <v>119</v>
      </c>
      <c r="D578" s="11"/>
      <c r="E578" s="11"/>
      <c r="F578" s="9"/>
      <c r="G578" s="19">
        <f>G579</f>
        <v>3254.1</v>
      </c>
      <c r="H578" s="19">
        <f>H579</f>
        <v>630.1</v>
      </c>
      <c r="I578" s="19">
        <f>I579</f>
        <v>1950.9</v>
      </c>
      <c r="J578" s="20">
        <f>J579</f>
        <v>0</v>
      </c>
      <c r="K578" s="37">
        <f>I578/G578*100</f>
        <v>59.952060477551406</v>
      </c>
    </row>
    <row r="579" spans="1:11" ht="15.75">
      <c r="A579" s="10" t="s">
        <v>41</v>
      </c>
      <c r="B579" s="11" t="s">
        <v>198</v>
      </c>
      <c r="C579" s="11" t="s">
        <v>119</v>
      </c>
      <c r="D579" s="11" t="s">
        <v>106</v>
      </c>
      <c r="E579" s="11"/>
      <c r="F579" s="9"/>
      <c r="G579" s="20">
        <f>G580+G583+G586+G590</f>
        <v>3254.1</v>
      </c>
      <c r="H579" s="20">
        <f>H580+H583+H586+H590</f>
        <v>630.1</v>
      </c>
      <c r="I579" s="20">
        <f>I580+I583+I586+I590</f>
        <v>1950.9</v>
      </c>
      <c r="J579" s="20">
        <f>J580+J583+J586+J590</f>
        <v>0</v>
      </c>
      <c r="K579" s="37">
        <f>I579/G579*100</f>
        <v>59.952060477551406</v>
      </c>
    </row>
    <row r="580" spans="1:11" ht="29.25">
      <c r="A580" s="6" t="s">
        <v>121</v>
      </c>
      <c r="B580" s="8" t="s">
        <v>198</v>
      </c>
      <c r="C580" s="8" t="s">
        <v>119</v>
      </c>
      <c r="D580" s="8" t="s">
        <v>106</v>
      </c>
      <c r="E580" s="8" t="s">
        <v>81</v>
      </c>
      <c r="F580" s="9"/>
      <c r="G580" s="20">
        <f>G581</f>
        <v>46.7</v>
      </c>
      <c r="H580" s="20">
        <f aca="true" t="shared" si="47" ref="H580:J581">H581</f>
        <v>46.7</v>
      </c>
      <c r="I580" s="20">
        <f t="shared" si="47"/>
        <v>0</v>
      </c>
      <c r="J580" s="20">
        <f t="shared" si="47"/>
        <v>0</v>
      </c>
      <c r="K580" s="38"/>
    </row>
    <row r="581" spans="1:11" ht="100.5">
      <c r="A581" s="6" t="s">
        <v>478</v>
      </c>
      <c r="B581" s="8" t="s">
        <v>198</v>
      </c>
      <c r="C581" s="8" t="s">
        <v>119</v>
      </c>
      <c r="D581" s="8" t="s">
        <v>106</v>
      </c>
      <c r="E581" s="8" t="s">
        <v>477</v>
      </c>
      <c r="F581" s="9"/>
      <c r="G581" s="20">
        <f>G582</f>
        <v>46.7</v>
      </c>
      <c r="H581" s="20">
        <f t="shared" si="47"/>
        <v>46.7</v>
      </c>
      <c r="I581" s="20">
        <f t="shared" si="47"/>
        <v>0</v>
      </c>
      <c r="J581" s="20">
        <f t="shared" si="47"/>
        <v>0</v>
      </c>
      <c r="K581" s="38"/>
    </row>
    <row r="582" spans="1:11" ht="15.75">
      <c r="A582" s="7" t="s">
        <v>299</v>
      </c>
      <c r="B582" s="8" t="s">
        <v>198</v>
      </c>
      <c r="C582" s="8" t="s">
        <v>119</v>
      </c>
      <c r="D582" s="8" t="s">
        <v>106</v>
      </c>
      <c r="E582" s="8" t="s">
        <v>477</v>
      </c>
      <c r="F582" s="9" t="s">
        <v>300</v>
      </c>
      <c r="G582" s="20">
        <v>46.7</v>
      </c>
      <c r="H582" s="20">
        <v>46.7</v>
      </c>
      <c r="I582" s="20"/>
      <c r="J582" s="20"/>
      <c r="K582" s="38"/>
    </row>
    <row r="583" spans="1:11" ht="15.75">
      <c r="A583" s="7" t="s">
        <v>291</v>
      </c>
      <c r="B583" s="8" t="s">
        <v>198</v>
      </c>
      <c r="C583" s="8" t="s">
        <v>119</v>
      </c>
      <c r="D583" s="8" t="s">
        <v>106</v>
      </c>
      <c r="E583" s="8" t="s">
        <v>290</v>
      </c>
      <c r="F583" s="9"/>
      <c r="G583" s="20">
        <f>G584</f>
        <v>2084</v>
      </c>
      <c r="H583" s="20">
        <f aca="true" t="shared" si="48" ref="H583:J584">H584</f>
        <v>0</v>
      </c>
      <c r="I583" s="20">
        <f t="shared" si="48"/>
        <v>1887.5</v>
      </c>
      <c r="J583" s="20">
        <f t="shared" si="48"/>
        <v>0</v>
      </c>
      <c r="K583" s="38"/>
    </row>
    <row r="584" spans="1:11" ht="15.75">
      <c r="A584" s="7" t="s">
        <v>292</v>
      </c>
      <c r="B584" s="8" t="s">
        <v>198</v>
      </c>
      <c r="C584" s="8" t="s">
        <v>119</v>
      </c>
      <c r="D584" s="8" t="s">
        <v>106</v>
      </c>
      <c r="E584" s="8" t="s">
        <v>293</v>
      </c>
      <c r="F584" s="9"/>
      <c r="G584" s="20">
        <f>G585</f>
        <v>2084</v>
      </c>
      <c r="H584" s="20">
        <f t="shared" si="48"/>
        <v>0</v>
      </c>
      <c r="I584" s="20">
        <f t="shared" si="48"/>
        <v>1887.5</v>
      </c>
      <c r="J584" s="20">
        <f t="shared" si="48"/>
        <v>0</v>
      </c>
      <c r="K584" s="38"/>
    </row>
    <row r="585" spans="1:11" ht="15.75">
      <c r="A585" s="7" t="s">
        <v>86</v>
      </c>
      <c r="B585" s="8" t="s">
        <v>198</v>
      </c>
      <c r="C585" s="8" t="s">
        <v>119</v>
      </c>
      <c r="D585" s="8" t="s">
        <v>106</v>
      </c>
      <c r="E585" s="8" t="s">
        <v>293</v>
      </c>
      <c r="F585" s="9" t="s">
        <v>150</v>
      </c>
      <c r="G585" s="20">
        <v>2084</v>
      </c>
      <c r="H585" s="20"/>
      <c r="I585" s="20">
        <v>1887.5</v>
      </c>
      <c r="J585" s="20"/>
      <c r="K585" s="38"/>
    </row>
    <row r="586" spans="1:11" ht="15.75">
      <c r="A586" s="7" t="s">
        <v>219</v>
      </c>
      <c r="B586" s="8" t="s">
        <v>198</v>
      </c>
      <c r="C586" s="8" t="s">
        <v>119</v>
      </c>
      <c r="D586" s="8" t="s">
        <v>106</v>
      </c>
      <c r="E586" s="8" t="s">
        <v>218</v>
      </c>
      <c r="F586" s="9"/>
      <c r="G586" s="20">
        <f aca="true" t="shared" si="49" ref="G586:J588">G587</f>
        <v>583.4</v>
      </c>
      <c r="H586" s="20">
        <f t="shared" si="49"/>
        <v>583.4</v>
      </c>
      <c r="I586" s="20">
        <f t="shared" si="49"/>
        <v>0</v>
      </c>
      <c r="J586" s="20">
        <f t="shared" si="49"/>
        <v>0</v>
      </c>
      <c r="K586" s="38"/>
    </row>
    <row r="587" spans="1:11" ht="53.25" customHeight="1">
      <c r="A587" s="6" t="s">
        <v>474</v>
      </c>
      <c r="B587" s="8" t="s">
        <v>198</v>
      </c>
      <c r="C587" s="8" t="s">
        <v>119</v>
      </c>
      <c r="D587" s="8" t="s">
        <v>106</v>
      </c>
      <c r="E587" s="8" t="s">
        <v>473</v>
      </c>
      <c r="F587" s="9"/>
      <c r="G587" s="20">
        <f t="shared" si="49"/>
        <v>583.4</v>
      </c>
      <c r="H587" s="20">
        <f t="shared" si="49"/>
        <v>583.4</v>
      </c>
      <c r="I587" s="20">
        <f t="shared" si="49"/>
        <v>0</v>
      </c>
      <c r="J587" s="20">
        <f t="shared" si="49"/>
        <v>0</v>
      </c>
      <c r="K587" s="38"/>
    </row>
    <row r="588" spans="1:11" ht="29.25">
      <c r="A588" s="6" t="s">
        <v>476</v>
      </c>
      <c r="B588" s="8" t="s">
        <v>198</v>
      </c>
      <c r="C588" s="8" t="s">
        <v>119</v>
      </c>
      <c r="D588" s="8" t="s">
        <v>106</v>
      </c>
      <c r="E588" s="8" t="s">
        <v>475</v>
      </c>
      <c r="F588" s="9"/>
      <c r="G588" s="20">
        <f t="shared" si="49"/>
        <v>583.4</v>
      </c>
      <c r="H588" s="20">
        <f t="shared" si="49"/>
        <v>583.4</v>
      </c>
      <c r="I588" s="20">
        <f t="shared" si="49"/>
        <v>0</v>
      </c>
      <c r="J588" s="20">
        <f t="shared" si="49"/>
        <v>0</v>
      </c>
      <c r="K588" s="38"/>
    </row>
    <row r="589" spans="1:11" ht="15.75">
      <c r="A589" s="7" t="s">
        <v>299</v>
      </c>
      <c r="B589" s="8" t="s">
        <v>198</v>
      </c>
      <c r="C589" s="8" t="s">
        <v>119</v>
      </c>
      <c r="D589" s="8" t="s">
        <v>106</v>
      </c>
      <c r="E589" s="8" t="s">
        <v>475</v>
      </c>
      <c r="F589" s="9" t="s">
        <v>300</v>
      </c>
      <c r="G589" s="20">
        <v>583.4</v>
      </c>
      <c r="H589" s="20">
        <v>583.4</v>
      </c>
      <c r="I589" s="20"/>
      <c r="J589" s="20"/>
      <c r="K589" s="38"/>
    </row>
    <row r="590" spans="1:11" ht="15.75">
      <c r="A590" s="7" t="s">
        <v>78</v>
      </c>
      <c r="B590" s="8" t="s">
        <v>198</v>
      </c>
      <c r="C590" s="8" t="s">
        <v>119</v>
      </c>
      <c r="D590" s="8" t="s">
        <v>106</v>
      </c>
      <c r="E590" s="8" t="s">
        <v>79</v>
      </c>
      <c r="F590" s="9"/>
      <c r="G590" s="20">
        <f>G591</f>
        <v>540</v>
      </c>
      <c r="H590" s="20">
        <f aca="true" t="shared" si="50" ref="H590:J591">H591</f>
        <v>0</v>
      </c>
      <c r="I590" s="20">
        <f t="shared" si="50"/>
        <v>63.4</v>
      </c>
      <c r="J590" s="20">
        <f t="shared" si="50"/>
        <v>0</v>
      </c>
      <c r="K590" s="38"/>
    </row>
    <row r="591" spans="1:11" ht="43.5">
      <c r="A591" s="6" t="s">
        <v>294</v>
      </c>
      <c r="B591" s="8" t="s">
        <v>198</v>
      </c>
      <c r="C591" s="8" t="s">
        <v>119</v>
      </c>
      <c r="D591" s="8" t="s">
        <v>106</v>
      </c>
      <c r="E591" s="8" t="s">
        <v>295</v>
      </c>
      <c r="F591" s="9"/>
      <c r="G591" s="20">
        <f>G592</f>
        <v>540</v>
      </c>
      <c r="H591" s="20">
        <f t="shared" si="50"/>
        <v>0</v>
      </c>
      <c r="I591" s="20">
        <f t="shared" si="50"/>
        <v>63.4</v>
      </c>
      <c r="J591" s="20">
        <f t="shared" si="50"/>
        <v>0</v>
      </c>
      <c r="K591" s="38"/>
    </row>
    <row r="592" spans="1:11" ht="15.75">
      <c r="A592" s="7" t="s">
        <v>86</v>
      </c>
      <c r="B592" s="8" t="s">
        <v>198</v>
      </c>
      <c r="C592" s="8" t="s">
        <v>119</v>
      </c>
      <c r="D592" s="8" t="s">
        <v>106</v>
      </c>
      <c r="E592" s="8" t="s">
        <v>295</v>
      </c>
      <c r="F592" s="9" t="s">
        <v>150</v>
      </c>
      <c r="G592" s="20">
        <f>50+490</f>
        <v>540</v>
      </c>
      <c r="H592" s="20"/>
      <c r="I592" s="20">
        <v>63.4</v>
      </c>
      <c r="J592" s="20"/>
      <c r="K592" s="38"/>
    </row>
    <row r="593" spans="1:11" ht="15.75">
      <c r="A593" s="10" t="s">
        <v>1</v>
      </c>
      <c r="B593" s="11" t="s">
        <v>198</v>
      </c>
      <c r="C593" s="11" t="s">
        <v>113</v>
      </c>
      <c r="D593" s="8"/>
      <c r="E593" s="8"/>
      <c r="F593" s="9"/>
      <c r="G593" s="19">
        <f>G594+G613</f>
        <v>18192.9</v>
      </c>
      <c r="H593" s="19">
        <f>H594+H613</f>
        <v>8673.6</v>
      </c>
      <c r="I593" s="19">
        <f>I594+I613</f>
        <v>0</v>
      </c>
      <c r="J593" s="19">
        <f>J594+J613</f>
        <v>0</v>
      </c>
      <c r="K593" s="37">
        <f>I593/G593*100</f>
        <v>0</v>
      </c>
    </row>
    <row r="594" spans="1:11" ht="15.75">
      <c r="A594" s="7" t="s">
        <v>59</v>
      </c>
      <c r="B594" s="11" t="s">
        <v>198</v>
      </c>
      <c r="C594" s="11" t="s">
        <v>113</v>
      </c>
      <c r="D594" s="11" t="s">
        <v>111</v>
      </c>
      <c r="E594" s="8"/>
      <c r="F594" s="9"/>
      <c r="G594" s="20">
        <f>G611+G595+G601+G609</f>
        <v>14817.9</v>
      </c>
      <c r="H594" s="20">
        <f>H611+H595+H601+H609</f>
        <v>5298.6</v>
      </c>
      <c r="I594" s="20">
        <f>I611+I595+I601+I609</f>
        <v>0</v>
      </c>
      <c r="J594" s="20">
        <f>J611+J595+J601+J609</f>
        <v>0</v>
      </c>
      <c r="K594" s="37">
        <f>I594/G594*100</f>
        <v>0</v>
      </c>
    </row>
    <row r="595" spans="1:11" ht="15.75">
      <c r="A595" s="7" t="s">
        <v>371</v>
      </c>
      <c r="B595" s="8" t="s">
        <v>198</v>
      </c>
      <c r="C595" s="8" t="s">
        <v>113</v>
      </c>
      <c r="D595" s="8" t="s">
        <v>111</v>
      </c>
      <c r="E595" s="8" t="s">
        <v>373</v>
      </c>
      <c r="F595" s="9"/>
      <c r="G595" s="20">
        <f>G596</f>
        <v>2341</v>
      </c>
      <c r="H595" s="20">
        <f>H596</f>
        <v>2341</v>
      </c>
      <c r="I595" s="20">
        <f>I596</f>
        <v>0</v>
      </c>
      <c r="J595" s="20">
        <f>J596</f>
        <v>0</v>
      </c>
      <c r="K595" s="38"/>
    </row>
    <row r="596" spans="1:11" ht="15.75">
      <c r="A596" s="6" t="s">
        <v>372</v>
      </c>
      <c r="B596" s="8" t="s">
        <v>198</v>
      </c>
      <c r="C596" s="8" t="s">
        <v>113</v>
      </c>
      <c r="D596" s="8" t="s">
        <v>111</v>
      </c>
      <c r="E596" s="8" t="s">
        <v>374</v>
      </c>
      <c r="F596" s="9"/>
      <c r="G596" s="20">
        <f>G597+G599</f>
        <v>2341</v>
      </c>
      <c r="H596" s="20">
        <f>H597+H599</f>
        <v>2341</v>
      </c>
      <c r="I596" s="20">
        <f>I597+I599</f>
        <v>0</v>
      </c>
      <c r="J596" s="20">
        <f>J597+J599</f>
        <v>0</v>
      </c>
      <c r="K596" s="38"/>
    </row>
    <row r="597" spans="1:11" ht="29.25">
      <c r="A597" s="6" t="s">
        <v>441</v>
      </c>
      <c r="B597" s="8" t="s">
        <v>198</v>
      </c>
      <c r="C597" s="8" t="s">
        <v>113</v>
      </c>
      <c r="D597" s="8" t="s">
        <v>111</v>
      </c>
      <c r="E597" s="8" t="s">
        <v>375</v>
      </c>
      <c r="F597" s="9"/>
      <c r="G597" s="20">
        <f>G598</f>
        <v>891</v>
      </c>
      <c r="H597" s="20">
        <f>H598</f>
        <v>891</v>
      </c>
      <c r="I597" s="20">
        <f>I598</f>
        <v>0</v>
      </c>
      <c r="J597" s="20">
        <f>J598</f>
        <v>0</v>
      </c>
      <c r="K597" s="38"/>
    </row>
    <row r="598" spans="1:11" ht="15.75">
      <c r="A598" s="7" t="s">
        <v>411</v>
      </c>
      <c r="B598" s="8" t="s">
        <v>198</v>
      </c>
      <c r="C598" s="8" t="s">
        <v>113</v>
      </c>
      <c r="D598" s="8" t="s">
        <v>111</v>
      </c>
      <c r="E598" s="8" t="s">
        <v>375</v>
      </c>
      <c r="F598" s="9" t="s">
        <v>410</v>
      </c>
      <c r="G598" s="20">
        <v>891</v>
      </c>
      <c r="H598" s="20">
        <v>891</v>
      </c>
      <c r="I598" s="20"/>
      <c r="J598" s="20"/>
      <c r="K598" s="38"/>
    </row>
    <row r="599" spans="1:11" ht="15.75">
      <c r="A599" s="7" t="s">
        <v>442</v>
      </c>
      <c r="B599" s="8" t="s">
        <v>198</v>
      </c>
      <c r="C599" s="8" t="s">
        <v>113</v>
      </c>
      <c r="D599" s="8" t="s">
        <v>111</v>
      </c>
      <c r="E599" s="8" t="s">
        <v>440</v>
      </c>
      <c r="F599" s="9"/>
      <c r="G599" s="20">
        <f>G600</f>
        <v>1450</v>
      </c>
      <c r="H599" s="20">
        <f>H600</f>
        <v>1450</v>
      </c>
      <c r="I599" s="20">
        <f>I600</f>
        <v>0</v>
      </c>
      <c r="J599" s="20">
        <f>J600</f>
        <v>0</v>
      </c>
      <c r="K599" s="38"/>
    </row>
    <row r="600" spans="1:11" ht="15.75">
      <c r="A600" s="7" t="s">
        <v>411</v>
      </c>
      <c r="B600" s="8" t="s">
        <v>198</v>
      </c>
      <c r="C600" s="8" t="s">
        <v>113</v>
      </c>
      <c r="D600" s="8" t="s">
        <v>111</v>
      </c>
      <c r="E600" s="8" t="s">
        <v>440</v>
      </c>
      <c r="F600" s="9" t="s">
        <v>410</v>
      </c>
      <c r="G600" s="20">
        <f>1026+424</f>
        <v>1450</v>
      </c>
      <c r="H600" s="20">
        <f>1026+424</f>
        <v>1450</v>
      </c>
      <c r="I600" s="20"/>
      <c r="J600" s="20"/>
      <c r="K600" s="38"/>
    </row>
    <row r="601" spans="1:11" ht="15.75">
      <c r="A601" s="6" t="s">
        <v>139</v>
      </c>
      <c r="B601" s="8" t="s">
        <v>198</v>
      </c>
      <c r="C601" s="8" t="s">
        <v>113</v>
      </c>
      <c r="D601" s="8" t="s">
        <v>111</v>
      </c>
      <c r="E601" s="8" t="s">
        <v>54</v>
      </c>
      <c r="F601" s="9"/>
      <c r="G601" s="20">
        <f>G602</f>
        <v>6392.6</v>
      </c>
      <c r="H601" s="20">
        <f>H602</f>
        <v>715.5</v>
      </c>
      <c r="I601" s="20">
        <f>I602</f>
        <v>0</v>
      </c>
      <c r="J601" s="20">
        <f>J602</f>
        <v>0</v>
      </c>
      <c r="K601" s="38"/>
    </row>
    <row r="602" spans="1:11" ht="114.75" customHeight="1">
      <c r="A602" s="41" t="s">
        <v>376</v>
      </c>
      <c r="B602" s="8" t="s">
        <v>198</v>
      </c>
      <c r="C602" s="8" t="s">
        <v>113</v>
      </c>
      <c r="D602" s="8" t="s">
        <v>111</v>
      </c>
      <c r="E602" s="8" t="s">
        <v>377</v>
      </c>
      <c r="F602" s="9"/>
      <c r="G602" s="20">
        <f>G605+G603</f>
        <v>6392.6</v>
      </c>
      <c r="H602" s="20">
        <f>H605+H603</f>
        <v>715.5</v>
      </c>
      <c r="I602" s="20">
        <f>I605+I603</f>
        <v>0</v>
      </c>
      <c r="J602" s="20">
        <f>J605+J603</f>
        <v>0</v>
      </c>
      <c r="K602" s="38"/>
    </row>
    <row r="603" spans="1:11" ht="72" customHeight="1">
      <c r="A603" s="41" t="s">
        <v>432</v>
      </c>
      <c r="B603" s="8" t="s">
        <v>198</v>
      </c>
      <c r="C603" s="8" t="s">
        <v>113</v>
      </c>
      <c r="D603" s="8" t="s">
        <v>111</v>
      </c>
      <c r="E603" s="8" t="s">
        <v>433</v>
      </c>
      <c r="F603" s="9"/>
      <c r="G603" s="20">
        <f>G604</f>
        <v>0</v>
      </c>
      <c r="H603" s="20">
        <f>H604</f>
        <v>0</v>
      </c>
      <c r="I603" s="20">
        <f>I604</f>
        <v>0</v>
      </c>
      <c r="J603" s="20">
        <f>J604</f>
        <v>0</v>
      </c>
      <c r="K603" s="38"/>
    </row>
    <row r="604" spans="1:11" ht="15.75">
      <c r="A604" s="7" t="s">
        <v>411</v>
      </c>
      <c r="B604" s="8" t="s">
        <v>198</v>
      </c>
      <c r="C604" s="8" t="s">
        <v>113</v>
      </c>
      <c r="D604" s="8" t="s">
        <v>111</v>
      </c>
      <c r="E604" s="8" t="s">
        <v>433</v>
      </c>
      <c r="F604" s="9" t="s">
        <v>410</v>
      </c>
      <c r="G604" s="20">
        <f>1674-1674</f>
        <v>0</v>
      </c>
      <c r="H604" s="20">
        <f>1674-1674</f>
        <v>0</v>
      </c>
      <c r="I604" s="20"/>
      <c r="J604" s="20"/>
      <c r="K604" s="38"/>
    </row>
    <row r="605" spans="1:11" ht="57.75">
      <c r="A605" s="6" t="s">
        <v>378</v>
      </c>
      <c r="B605" s="8" t="s">
        <v>198</v>
      </c>
      <c r="C605" s="8" t="s">
        <v>113</v>
      </c>
      <c r="D605" s="8" t="s">
        <v>111</v>
      </c>
      <c r="E605" s="8" t="s">
        <v>379</v>
      </c>
      <c r="F605" s="9"/>
      <c r="G605" s="20">
        <f>G606</f>
        <v>6392.6</v>
      </c>
      <c r="H605" s="20">
        <f>H606</f>
        <v>715.5</v>
      </c>
      <c r="I605" s="20">
        <f>I606</f>
        <v>0</v>
      </c>
      <c r="J605" s="20">
        <f>J606</f>
        <v>0</v>
      </c>
      <c r="K605" s="38"/>
    </row>
    <row r="606" spans="1:11" ht="15.75">
      <c r="A606" s="7" t="s">
        <v>411</v>
      </c>
      <c r="B606" s="8" t="s">
        <v>198</v>
      </c>
      <c r="C606" s="8" t="s">
        <v>113</v>
      </c>
      <c r="D606" s="8" t="s">
        <v>111</v>
      </c>
      <c r="E606" s="8" t="s">
        <v>379</v>
      </c>
      <c r="F606" s="9" t="s">
        <v>410</v>
      </c>
      <c r="G606" s="20">
        <f>3092.4+2584.7+2389.5-1674</f>
        <v>6392.6</v>
      </c>
      <c r="H606" s="20">
        <f>2389.5-1674</f>
        <v>715.5</v>
      </c>
      <c r="I606" s="20"/>
      <c r="J606" s="20"/>
      <c r="K606" s="38"/>
    </row>
    <row r="607" spans="1:11" ht="29.25">
      <c r="A607" s="6" t="s">
        <v>271</v>
      </c>
      <c r="B607" s="8" t="s">
        <v>198</v>
      </c>
      <c r="C607" s="8" t="s">
        <v>113</v>
      </c>
      <c r="D607" s="8" t="s">
        <v>111</v>
      </c>
      <c r="E607" s="8" t="s">
        <v>270</v>
      </c>
      <c r="F607" s="9"/>
      <c r="G607" s="20">
        <f>G608</f>
        <v>2242.1000000000004</v>
      </c>
      <c r="H607" s="20">
        <f aca="true" t="shared" si="51" ref="H607:J608">H608</f>
        <v>2242.1000000000004</v>
      </c>
      <c r="I607" s="20">
        <f t="shared" si="51"/>
        <v>0</v>
      </c>
      <c r="J607" s="20">
        <f t="shared" si="51"/>
        <v>0</v>
      </c>
      <c r="K607" s="38"/>
    </row>
    <row r="608" spans="1:11" ht="15.75">
      <c r="A608" s="7" t="s">
        <v>439</v>
      </c>
      <c r="B608" s="8" t="s">
        <v>198</v>
      </c>
      <c r="C608" s="8" t="s">
        <v>113</v>
      </c>
      <c r="D608" s="8" t="s">
        <v>111</v>
      </c>
      <c r="E608" s="8" t="s">
        <v>438</v>
      </c>
      <c r="F608" s="9"/>
      <c r="G608" s="20">
        <f>G609</f>
        <v>2242.1000000000004</v>
      </c>
      <c r="H608" s="20">
        <f t="shared" si="51"/>
        <v>2242.1000000000004</v>
      </c>
      <c r="I608" s="20">
        <f t="shared" si="51"/>
        <v>0</v>
      </c>
      <c r="J608" s="20">
        <f t="shared" si="51"/>
        <v>0</v>
      </c>
      <c r="K608" s="38"/>
    </row>
    <row r="609" spans="1:11" ht="15.75">
      <c r="A609" s="7" t="s">
        <v>411</v>
      </c>
      <c r="B609" s="8" t="s">
        <v>198</v>
      </c>
      <c r="C609" s="8" t="s">
        <v>113</v>
      </c>
      <c r="D609" s="8" t="s">
        <v>111</v>
      </c>
      <c r="E609" s="8" t="s">
        <v>438</v>
      </c>
      <c r="F609" s="9" t="s">
        <v>410</v>
      </c>
      <c r="G609" s="20">
        <f>1585.9+656.2</f>
        <v>2242.1000000000004</v>
      </c>
      <c r="H609" s="20">
        <f>1585.9+656.2</f>
        <v>2242.1000000000004</v>
      </c>
      <c r="I609" s="20"/>
      <c r="J609" s="20"/>
      <c r="K609" s="38"/>
    </row>
    <row r="610" spans="1:11" ht="15.75">
      <c r="A610" s="7" t="s">
        <v>78</v>
      </c>
      <c r="B610" s="8" t="s">
        <v>198</v>
      </c>
      <c r="C610" s="8" t="s">
        <v>113</v>
      </c>
      <c r="D610" s="8" t="s">
        <v>111</v>
      </c>
      <c r="E610" s="8" t="s">
        <v>79</v>
      </c>
      <c r="F610" s="9"/>
      <c r="G610" s="20">
        <f>G611</f>
        <v>3842.2</v>
      </c>
      <c r="H610" s="20">
        <f aca="true" t="shared" si="52" ref="H610:J611">H611</f>
        <v>0</v>
      </c>
      <c r="I610" s="20">
        <f t="shared" si="52"/>
        <v>0</v>
      </c>
      <c r="J610" s="20">
        <f t="shared" si="52"/>
        <v>0</v>
      </c>
      <c r="K610" s="38"/>
    </row>
    <row r="611" spans="1:11" ht="29.25">
      <c r="A611" s="6" t="s">
        <v>251</v>
      </c>
      <c r="B611" s="8" t="s">
        <v>198</v>
      </c>
      <c r="C611" s="8" t="s">
        <v>113</v>
      </c>
      <c r="D611" s="8" t="s">
        <v>111</v>
      </c>
      <c r="E611" s="8" t="s">
        <v>258</v>
      </c>
      <c r="F611" s="9"/>
      <c r="G611" s="20">
        <f>G612</f>
        <v>3842.2</v>
      </c>
      <c r="H611" s="20">
        <f t="shared" si="52"/>
        <v>0</v>
      </c>
      <c r="I611" s="20">
        <f t="shared" si="52"/>
        <v>0</v>
      </c>
      <c r="J611" s="20">
        <f t="shared" si="52"/>
        <v>0</v>
      </c>
      <c r="K611" s="38"/>
    </row>
    <row r="612" spans="1:11" ht="15.75">
      <c r="A612" s="7" t="s">
        <v>86</v>
      </c>
      <c r="B612" s="8" t="s">
        <v>198</v>
      </c>
      <c r="C612" s="8" t="s">
        <v>113</v>
      </c>
      <c r="D612" s="8" t="s">
        <v>111</v>
      </c>
      <c r="E612" s="8" t="s">
        <v>258</v>
      </c>
      <c r="F612" s="9" t="s">
        <v>150</v>
      </c>
      <c r="G612" s="20">
        <f>827+1738.3+1592.7-315.8</f>
        <v>3842.2</v>
      </c>
      <c r="H612" s="20"/>
      <c r="I612" s="20"/>
      <c r="J612" s="20"/>
      <c r="K612" s="38"/>
    </row>
    <row r="613" spans="1:11" ht="15.75">
      <c r="A613" s="7" t="s">
        <v>161</v>
      </c>
      <c r="B613" s="8" t="s">
        <v>198</v>
      </c>
      <c r="C613" s="8" t="s">
        <v>113</v>
      </c>
      <c r="D613" s="8" t="s">
        <v>108</v>
      </c>
      <c r="E613" s="8"/>
      <c r="F613" s="9"/>
      <c r="G613" s="20">
        <f aca="true" t="shared" si="53" ref="G613:J615">G614</f>
        <v>3375</v>
      </c>
      <c r="H613" s="20">
        <f t="shared" si="53"/>
        <v>3375</v>
      </c>
      <c r="I613" s="20">
        <f t="shared" si="53"/>
        <v>0</v>
      </c>
      <c r="J613" s="20">
        <f t="shared" si="53"/>
        <v>0</v>
      </c>
      <c r="K613" s="38"/>
    </row>
    <row r="614" spans="1:11" ht="43.5">
      <c r="A614" s="6" t="s">
        <v>437</v>
      </c>
      <c r="B614" s="8" t="s">
        <v>198</v>
      </c>
      <c r="C614" s="8" t="s">
        <v>113</v>
      </c>
      <c r="D614" s="8" t="s">
        <v>108</v>
      </c>
      <c r="E614" s="8" t="s">
        <v>435</v>
      </c>
      <c r="F614" s="9"/>
      <c r="G614" s="20">
        <f t="shared" si="53"/>
        <v>3375</v>
      </c>
      <c r="H614" s="20">
        <f t="shared" si="53"/>
        <v>3375</v>
      </c>
      <c r="I614" s="20">
        <f t="shared" si="53"/>
        <v>0</v>
      </c>
      <c r="J614" s="20">
        <f t="shared" si="53"/>
        <v>0</v>
      </c>
      <c r="K614" s="38"/>
    </row>
    <row r="615" spans="1:11" ht="57.75">
      <c r="A615" s="6" t="s">
        <v>434</v>
      </c>
      <c r="B615" s="8" t="s">
        <v>198</v>
      </c>
      <c r="C615" s="8" t="s">
        <v>113</v>
      </c>
      <c r="D615" s="8" t="s">
        <v>108</v>
      </c>
      <c r="E615" s="8" t="s">
        <v>436</v>
      </c>
      <c r="F615" s="9"/>
      <c r="G615" s="20">
        <f t="shared" si="53"/>
        <v>3375</v>
      </c>
      <c r="H615" s="20">
        <f t="shared" si="53"/>
        <v>3375</v>
      </c>
      <c r="I615" s="20">
        <f t="shared" si="53"/>
        <v>0</v>
      </c>
      <c r="J615" s="20">
        <f t="shared" si="53"/>
        <v>0</v>
      </c>
      <c r="K615" s="38"/>
    </row>
    <row r="616" spans="1:11" ht="15.75">
      <c r="A616" s="6" t="s">
        <v>123</v>
      </c>
      <c r="B616" s="8" t="s">
        <v>198</v>
      </c>
      <c r="C616" s="8" t="s">
        <v>113</v>
      </c>
      <c r="D616" s="8" t="s">
        <v>108</v>
      </c>
      <c r="E616" s="8" t="s">
        <v>436</v>
      </c>
      <c r="F616" s="9" t="s">
        <v>407</v>
      </c>
      <c r="G616" s="20">
        <v>3375</v>
      </c>
      <c r="H616" s="20">
        <v>3375</v>
      </c>
      <c r="I616" s="20"/>
      <c r="J616" s="20"/>
      <c r="K616" s="38"/>
    </row>
    <row r="617" spans="1:11" ht="15.75">
      <c r="A617" s="43" t="s">
        <v>421</v>
      </c>
      <c r="B617" s="11" t="s">
        <v>419</v>
      </c>
      <c r="C617" s="8"/>
      <c r="D617" s="8"/>
      <c r="E617" s="8"/>
      <c r="F617" s="9"/>
      <c r="G617" s="19">
        <f>G618</f>
        <v>1500</v>
      </c>
      <c r="H617" s="19"/>
      <c r="I617" s="19">
        <f>I618</f>
        <v>661.2</v>
      </c>
      <c r="J617" s="19">
        <f>J618</f>
        <v>0</v>
      </c>
      <c r="K617" s="37">
        <f>I617/G617*100</f>
        <v>44.080000000000005</v>
      </c>
    </row>
    <row r="618" spans="1:11" ht="15.75">
      <c r="A618" s="10" t="s">
        <v>9</v>
      </c>
      <c r="B618" s="11" t="s">
        <v>419</v>
      </c>
      <c r="C618" s="11" t="s">
        <v>106</v>
      </c>
      <c r="D618" s="11"/>
      <c r="E618" s="11"/>
      <c r="F618" s="12"/>
      <c r="G618" s="20">
        <f>G619</f>
        <v>1500</v>
      </c>
      <c r="H618" s="20">
        <f>H619+H622</f>
        <v>0</v>
      </c>
      <c r="I618" s="20">
        <f>I619</f>
        <v>661.2</v>
      </c>
      <c r="J618" s="20">
        <f>J619+J622</f>
        <v>0</v>
      </c>
      <c r="K618" s="37">
        <f>I618/G618*100</f>
        <v>44.080000000000005</v>
      </c>
    </row>
    <row r="619" spans="1:11" ht="45">
      <c r="A619" s="35" t="s">
        <v>175</v>
      </c>
      <c r="B619" s="11" t="s">
        <v>419</v>
      </c>
      <c r="C619" s="11" t="s">
        <v>106</v>
      </c>
      <c r="D619" s="11" t="s">
        <v>122</v>
      </c>
      <c r="E619" s="11"/>
      <c r="F619" s="12"/>
      <c r="G619" s="20">
        <f>G620</f>
        <v>1500</v>
      </c>
      <c r="H619" s="20">
        <f aca="true" t="shared" si="54" ref="H619:J620">H620</f>
        <v>0</v>
      </c>
      <c r="I619" s="20">
        <f>I620</f>
        <v>661.2</v>
      </c>
      <c r="J619" s="20">
        <f t="shared" si="54"/>
        <v>0</v>
      </c>
      <c r="K619" s="38"/>
    </row>
    <row r="620" spans="1:11" ht="15.75">
      <c r="A620" s="7" t="s">
        <v>33</v>
      </c>
      <c r="B620" s="8" t="s">
        <v>419</v>
      </c>
      <c r="C620" s="8" t="s">
        <v>106</v>
      </c>
      <c r="D620" s="8" t="s">
        <v>122</v>
      </c>
      <c r="E620" s="8" t="s">
        <v>151</v>
      </c>
      <c r="F620" s="9"/>
      <c r="G620" s="20">
        <f>G621</f>
        <v>1500</v>
      </c>
      <c r="H620" s="20"/>
      <c r="I620" s="20">
        <f>I621</f>
        <v>661.2</v>
      </c>
      <c r="J620" s="20">
        <f t="shared" si="54"/>
        <v>0</v>
      </c>
      <c r="K620" s="38"/>
    </row>
    <row r="621" spans="1:11" ht="15.75">
      <c r="A621" s="7" t="s">
        <v>86</v>
      </c>
      <c r="B621" s="8" t="s">
        <v>419</v>
      </c>
      <c r="C621" s="8" t="s">
        <v>106</v>
      </c>
      <c r="D621" s="8" t="s">
        <v>122</v>
      </c>
      <c r="E621" s="8" t="s">
        <v>151</v>
      </c>
      <c r="F621" s="9" t="s">
        <v>150</v>
      </c>
      <c r="G621" s="20">
        <v>1500</v>
      </c>
      <c r="H621" s="20"/>
      <c r="I621" s="20">
        <v>661.2</v>
      </c>
      <c r="J621" s="20"/>
      <c r="K621" s="38"/>
    </row>
    <row r="622" spans="1:11" ht="15.75" hidden="1">
      <c r="A622" s="10" t="s">
        <v>48</v>
      </c>
      <c r="B622" s="11" t="s">
        <v>419</v>
      </c>
      <c r="C622" s="11" t="s">
        <v>106</v>
      </c>
      <c r="D622" s="11" t="s">
        <v>187</v>
      </c>
      <c r="E622" s="11"/>
      <c r="F622" s="12"/>
      <c r="G622" s="20">
        <f>G623</f>
        <v>0</v>
      </c>
      <c r="H622" s="20"/>
      <c r="I622" s="20"/>
      <c r="J622" s="20"/>
      <c r="K622" s="38"/>
    </row>
    <row r="623" spans="1:11" ht="15.75" hidden="1">
      <c r="A623" s="7" t="s">
        <v>78</v>
      </c>
      <c r="B623" s="8" t="s">
        <v>419</v>
      </c>
      <c r="C623" s="8" t="s">
        <v>106</v>
      </c>
      <c r="D623" s="8" t="s">
        <v>187</v>
      </c>
      <c r="E623" s="8" t="s">
        <v>79</v>
      </c>
      <c r="F623" s="9"/>
      <c r="G623" s="20">
        <f>G624</f>
        <v>0</v>
      </c>
      <c r="H623" s="20"/>
      <c r="I623" s="20"/>
      <c r="J623" s="20"/>
      <c r="K623" s="38"/>
    </row>
    <row r="624" spans="1:11" ht="43.5" hidden="1">
      <c r="A624" s="6" t="s">
        <v>210</v>
      </c>
      <c r="B624" s="8" t="s">
        <v>419</v>
      </c>
      <c r="C624" s="8" t="s">
        <v>106</v>
      </c>
      <c r="D624" s="8" t="s">
        <v>187</v>
      </c>
      <c r="E624" s="8" t="s">
        <v>128</v>
      </c>
      <c r="F624" s="9"/>
      <c r="G624" s="20">
        <f>G625</f>
        <v>0</v>
      </c>
      <c r="H624" s="20"/>
      <c r="I624" s="20"/>
      <c r="J624" s="20"/>
      <c r="K624" s="38"/>
    </row>
    <row r="625" spans="1:11" ht="15.75" hidden="1">
      <c r="A625" s="7" t="s">
        <v>86</v>
      </c>
      <c r="B625" s="8" t="s">
        <v>419</v>
      </c>
      <c r="C625" s="8" t="s">
        <v>106</v>
      </c>
      <c r="D625" s="8" t="s">
        <v>187</v>
      </c>
      <c r="E625" s="8" t="s">
        <v>128</v>
      </c>
      <c r="F625" s="9" t="s">
        <v>150</v>
      </c>
      <c r="G625" s="20"/>
      <c r="H625" s="20"/>
      <c r="I625" s="20"/>
      <c r="J625" s="20"/>
      <c r="K625" s="38"/>
    </row>
    <row r="626" spans="1:11" ht="44.25" customHeight="1">
      <c r="A626" s="45" t="s">
        <v>42</v>
      </c>
      <c r="B626" s="19" t="s">
        <v>32</v>
      </c>
      <c r="C626" s="19" t="s">
        <v>31</v>
      </c>
      <c r="D626" s="46" t="s">
        <v>75</v>
      </c>
      <c r="E626" s="19" t="s">
        <v>30</v>
      </c>
      <c r="F626" s="47" t="s">
        <v>32</v>
      </c>
      <c r="G626" s="19">
        <f>G9+G273+G400+G509+G559+G548+G495+G617</f>
        <v>3367858.1000000006</v>
      </c>
      <c r="H626" s="19">
        <f>H9+H273+H400+H509+H559+H548+H495+H617</f>
        <v>1925850.2000000002</v>
      </c>
      <c r="I626" s="19">
        <f>I9+I273+I400+I509+I559+I548+I495+I617</f>
        <v>3123683.500000001</v>
      </c>
      <c r="J626" s="19">
        <f>J9+J273+J400+J509+J559+J548+J495+J617</f>
        <v>1769037.7000000002</v>
      </c>
      <c r="K626" s="37">
        <f>I626/G626*100</f>
        <v>92.74985487066692</v>
      </c>
    </row>
    <row r="629" spans="7:8" ht="15.75">
      <c r="G629" s="48"/>
      <c r="H629" s="48"/>
    </row>
    <row r="630" spans="7:8" ht="15.75">
      <c r="G630" s="48"/>
      <c r="H630" s="49"/>
    </row>
    <row r="631" ht="15" customHeight="1">
      <c r="G631" s="48"/>
    </row>
    <row r="632" ht="15.75">
      <c r="G632" s="48"/>
    </row>
    <row r="634" ht="15.75">
      <c r="G634" s="50"/>
    </row>
  </sheetData>
  <sheetProtection/>
  <mergeCells count="13">
    <mergeCell ref="F7:F8"/>
    <mergeCell ref="B7:B8"/>
    <mergeCell ref="H6:K6"/>
    <mergeCell ref="A5:K5"/>
    <mergeCell ref="I7:I8"/>
    <mergeCell ref="J7:J8"/>
    <mergeCell ref="K7:K8"/>
    <mergeCell ref="C7:C8"/>
    <mergeCell ref="D7:D8"/>
    <mergeCell ref="E7:E8"/>
    <mergeCell ref="G7:G8"/>
    <mergeCell ref="H7:H8"/>
    <mergeCell ref="A7:A8"/>
  </mergeCells>
  <printOptions horizontalCentered="1"/>
  <pageMargins left="0.2362204724409449" right="0.18" top="0.35433070866141736" bottom="0.2755905511811024" header="0.6299212598425197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Администрация</cp:lastModifiedBy>
  <cp:lastPrinted>2013-06-20T06:45:46Z</cp:lastPrinted>
  <dcterms:created xsi:type="dcterms:W3CDTF">2002-11-11T07:39:40Z</dcterms:created>
  <dcterms:modified xsi:type="dcterms:W3CDTF">2013-06-24T05:44:13Z</dcterms:modified>
  <cp:category/>
  <cp:version/>
  <cp:contentType/>
  <cp:contentStatus/>
</cp:coreProperties>
</file>