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20" yWindow="65506" windowWidth="18555" windowHeight="13215" activeTab="1"/>
  </bookViews>
  <sheets>
    <sheet name="Прилож №3" sheetId="1" r:id="rId1"/>
    <sheet name="Прилож №5" sheetId="2" r:id="rId2"/>
  </sheets>
  <definedNames/>
  <calcPr fullCalcOnLoad="1"/>
</workbook>
</file>

<file path=xl/sharedStrings.xml><?xml version="1.0" encoding="utf-8"?>
<sst xmlns="http://schemas.openxmlformats.org/spreadsheetml/2006/main" count="4887" uniqueCount="493">
  <si>
    <t>Наименование</t>
  </si>
  <si>
    <t>027</t>
  </si>
  <si>
    <t>029</t>
  </si>
  <si>
    <t>Социальная политика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</si>
  <si>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</si>
  <si>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</si>
  <si>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</si>
  <si>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</si>
  <si>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262</t>
  </si>
  <si>
    <t>Музеи и постоянные выставки</t>
  </si>
  <si>
    <t>Библиотеки</t>
  </si>
  <si>
    <t>327</t>
  </si>
  <si>
    <t>Резервные фонды</t>
  </si>
  <si>
    <t>Общегосударственные  вопросы</t>
  </si>
  <si>
    <t>Руководство и управление в сфере установленных  функций</t>
  </si>
  <si>
    <t>070 00 00</t>
  </si>
  <si>
    <t>Жилищно-коммунальное хозяйство</t>
  </si>
  <si>
    <t>420 00 00</t>
  </si>
  <si>
    <t>Обеспечение деятельности подведомственных учреждений</t>
  </si>
  <si>
    <t>421 00 00</t>
  </si>
  <si>
    <t>Молодежная политика и оздоровление детей</t>
  </si>
  <si>
    <t>Учреждения по внешкольной работе с детьми</t>
  </si>
  <si>
    <t>423 00 00</t>
  </si>
  <si>
    <t>Другие вопросы в области образования</t>
  </si>
  <si>
    <t>Культура</t>
  </si>
  <si>
    <t>440 00 00</t>
  </si>
  <si>
    <t>441 00 00</t>
  </si>
  <si>
    <t>442 00 00</t>
  </si>
  <si>
    <t>443 00 00</t>
  </si>
  <si>
    <t>452 00 00</t>
  </si>
  <si>
    <t>470 00 00</t>
  </si>
  <si>
    <t>Охрана окружающей среды</t>
  </si>
  <si>
    <t>Другие вопросы в области охраны окружающей среды</t>
  </si>
  <si>
    <t>Пенсионное обеспечение</t>
  </si>
  <si>
    <t>000 00 00</t>
  </si>
  <si>
    <t>0000</t>
  </si>
  <si>
    <t>000</t>
  </si>
  <si>
    <t>Центральный аппарат</t>
  </si>
  <si>
    <t>005</t>
  </si>
  <si>
    <t>КОД</t>
  </si>
  <si>
    <t>Раздел</t>
  </si>
  <si>
    <t>Всего</t>
  </si>
  <si>
    <t>Национальная экономика</t>
  </si>
  <si>
    <t>Другие вопросы в области национальной экономики</t>
  </si>
  <si>
    <t>003</t>
  </si>
  <si>
    <t>Жилищное хозяйство</t>
  </si>
  <si>
    <t>ИТОГО РАСХОДОВ</t>
  </si>
  <si>
    <t>ВСЕГО РАСХОДОВ</t>
  </si>
  <si>
    <t>340 00 00</t>
  </si>
  <si>
    <t>Выполнение других обязательств государства</t>
  </si>
  <si>
    <t>Центры спортивной подготовки (сборные команды)</t>
  </si>
  <si>
    <t>482 00 00</t>
  </si>
  <si>
    <t>Другие общегосударственные вопросы</t>
  </si>
  <si>
    <t>Национальная оборона</t>
  </si>
  <si>
    <t>Мобилизационная подготовка экономики</t>
  </si>
  <si>
    <t>209 00 00</t>
  </si>
  <si>
    <t>001</t>
  </si>
  <si>
    <t>006</t>
  </si>
  <si>
    <t>505 00 00</t>
  </si>
  <si>
    <t>483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</si>
  <si>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</si>
  <si>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</si>
  <si>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</si>
  <si>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520 00 00</t>
  </si>
  <si>
    <t>Социальное обеспечение населения</t>
  </si>
  <si>
    <t>Транспорт</t>
  </si>
  <si>
    <t>Дорожное хозяйство</t>
  </si>
  <si>
    <t>Функционирование  высшего должностного лица субъекта РФ и органа местного самоуправления</t>
  </si>
  <si>
    <t>Функционирование Правительства РФ, высших органов исполнительной власти субъектов РФ, местных администраций</t>
  </si>
  <si>
    <t>Реализация государственных функций по мобилизационной подготовке экономики</t>
  </si>
  <si>
    <t>Мероприятия по обеспечению мобилизационной готовности экономики</t>
  </si>
  <si>
    <t>Другие вопросы в области национальной безопасности и правоохранительной деятельности</t>
  </si>
  <si>
    <t>Реализация государственных функций в области национальной экономики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</si>
  <si>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</si>
  <si>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Театры, цирки, концертные и другие организации исполнительских искусств</t>
  </si>
  <si>
    <t>Доплаты к пенсиям государственных служащих субъектов РФ и муниципальных служащих</t>
  </si>
  <si>
    <t>Национальная безопасность и правоохранительная деятельность</t>
  </si>
  <si>
    <t>Дворцы и  дома культуры, другие учреждения культуры и средств массовой информации</t>
  </si>
  <si>
    <t xml:space="preserve">                                     Наименование</t>
  </si>
  <si>
    <t>Иные безвозмездные и безвозвратные перечисления</t>
  </si>
  <si>
    <t>00</t>
  </si>
  <si>
    <t>013</t>
  </si>
  <si>
    <t>Другие вопросы в области социальной политики</t>
  </si>
  <si>
    <t>Целевые программы муниципальных образований</t>
  </si>
  <si>
    <t>795 00 00</t>
  </si>
  <si>
    <t>482</t>
  </si>
  <si>
    <t>Благоустройство</t>
  </si>
  <si>
    <t>092 00 00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</si>
  <si>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</si>
  <si>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</si>
  <si>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</si>
  <si>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260</t>
  </si>
  <si>
    <t>366</t>
  </si>
  <si>
    <t>Предоставление гражданам субсидий на оплату жилого помещения и коммунальных услуг</t>
  </si>
  <si>
    <t>Выполнение функций органами местного самоуправления</t>
  </si>
  <si>
    <t xml:space="preserve">Руководство и управление в сфере установленных  функций </t>
  </si>
  <si>
    <t>Прочие расходы</t>
  </si>
  <si>
    <t>Резервные фонды исполнительных органов местного самоуправления</t>
  </si>
  <si>
    <t>070 05 00</t>
  </si>
  <si>
    <t>209 01 00</t>
  </si>
  <si>
    <t>Социальные выплаты</t>
  </si>
  <si>
    <t>Защита населения и территории от чрезвычайных ситуаций природного и техногенного характера, гражданская оборона</t>
  </si>
  <si>
    <t>218 01 00</t>
  </si>
  <si>
    <t>Выполнение функций бюджетными учреждениями</t>
  </si>
  <si>
    <t>Автомобильный транспорт</t>
  </si>
  <si>
    <t>303 00 00</t>
  </si>
  <si>
    <t>Отдельные мероприятия в области автомобильного транспорта</t>
  </si>
  <si>
    <t>303 02 00</t>
  </si>
  <si>
    <t>Расходы на организацию транспортного обслуживания населения автомобильным транспортом(пригородное и межмуниципальное сообщение)</t>
  </si>
  <si>
    <t>303 02 01</t>
  </si>
  <si>
    <t>Рз</t>
  </si>
  <si>
    <t>ПР</t>
  </si>
  <si>
    <t>ЦСР</t>
  </si>
  <si>
    <t>ВР</t>
  </si>
  <si>
    <t>01</t>
  </si>
  <si>
    <t>02</t>
  </si>
  <si>
    <t>04</t>
  </si>
  <si>
    <t>12</t>
  </si>
  <si>
    <t>14</t>
  </si>
  <si>
    <t>03</t>
  </si>
  <si>
    <t>09</t>
  </si>
  <si>
    <t>10</t>
  </si>
  <si>
    <t>07</t>
  </si>
  <si>
    <t>08</t>
  </si>
  <si>
    <t>315 00 00</t>
  </si>
  <si>
    <t>Поддержка дорожного хозяйства</t>
  </si>
  <si>
    <t>315 02 00</t>
  </si>
  <si>
    <t>05</t>
  </si>
  <si>
    <t>092 03 00</t>
  </si>
  <si>
    <t>Реализация государственных функций , связанных с общегосударственным управлением</t>
  </si>
  <si>
    <t>06</t>
  </si>
  <si>
    <t>Бюджетные инвестиции</t>
  </si>
  <si>
    <t>420 99 00</t>
  </si>
  <si>
    <t>421 99 00</t>
  </si>
  <si>
    <t>423 99 00</t>
  </si>
  <si>
    <t>452 99 00</t>
  </si>
  <si>
    <t>795 01 00</t>
  </si>
  <si>
    <t>440 99 00</t>
  </si>
  <si>
    <t>441 99 00</t>
  </si>
  <si>
    <t>442 99 00</t>
  </si>
  <si>
    <t>443 99 00</t>
  </si>
  <si>
    <t>Стационарная медицинская помощь</t>
  </si>
  <si>
    <t>Физическая культура и спорт</t>
  </si>
  <si>
    <t>482 99 00</t>
  </si>
  <si>
    <t>Доплаты к пенсиям, дополнительное пенсионное обеспечение</t>
  </si>
  <si>
    <t>491 00 00</t>
  </si>
  <si>
    <t>491 01 00</t>
  </si>
  <si>
    <t>Социальная помощь</t>
  </si>
  <si>
    <t>Оказание других видов социальной помощи</t>
  </si>
  <si>
    <t>505 48 00</t>
  </si>
  <si>
    <t>795 03 00</t>
  </si>
  <si>
    <t>795 06 00</t>
  </si>
  <si>
    <t>Выполнение функций  органами местного самоуправления</t>
  </si>
  <si>
    <t>795 07 00</t>
  </si>
  <si>
    <t>(тыс. руб.)</t>
  </si>
  <si>
    <t>Субсидии некоммерческим организациям</t>
  </si>
  <si>
    <t>019</t>
  </si>
  <si>
    <t>002 00 00</t>
  </si>
  <si>
    <t>500</t>
  </si>
  <si>
    <t>002 04 00</t>
  </si>
  <si>
    <t>520 18 00</t>
  </si>
  <si>
    <t>Руководство и управление в сфере установленных  функций органов государственной власти субъектов Российской Федерации и органов местного самоуправления</t>
  </si>
  <si>
    <t>Глава муниципального  образования</t>
  </si>
  <si>
    <t>002 03 00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</si>
  <si>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</si>
  <si>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Председатель  представительного органа муниципального образования</t>
  </si>
  <si>
    <t>002 11 00</t>
  </si>
  <si>
    <t>Содержание автомобильных дорог  общего пользования</t>
  </si>
  <si>
    <t>315 02 03</t>
  </si>
  <si>
    <t>Охрана семьи и детства</t>
  </si>
  <si>
    <t>Родильные дома</t>
  </si>
  <si>
    <t>476 00 00</t>
  </si>
  <si>
    <t>Амбулаторная помощь</t>
  </si>
  <si>
    <t>Поликлиники, амбулатории, диагностические центры</t>
  </si>
  <si>
    <t>471 00 00</t>
  </si>
  <si>
    <t>471 99 00</t>
  </si>
  <si>
    <t>Медицинская помощь в дневных стационарах всех типов</t>
  </si>
  <si>
    <t>Скорая медицинская помощь</t>
  </si>
  <si>
    <t>Станции скорой и неотложной помощи</t>
  </si>
  <si>
    <t>477 00 00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</si>
  <si>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</si>
  <si>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Мероприятия по землеустройству и землепользованию</t>
  </si>
  <si>
    <t>340 03 00</t>
  </si>
  <si>
    <t>Обеспечение деятельности финансовых, налоговых и таможенных органов и органов финансового(финансово-бюджетного) надзора</t>
  </si>
  <si>
    <t>431 99 00</t>
  </si>
  <si>
    <t>505 86 00</t>
  </si>
  <si>
    <t>Расходы на организацию транспортного обслуживания населения автомобильным транспортом (пригородное и межмуниципальное сообщение)</t>
  </si>
  <si>
    <t>Ежемесячное денежное вознаграждение за классное руководство</t>
  </si>
  <si>
    <t>520 09 00</t>
  </si>
  <si>
    <t>Руководство и управление в сфере установленных  функций органов государственной власти субъектов Российской Федерации и органов местного самоуправлении</t>
  </si>
  <si>
    <t>Школы-детские сады, школы начальные, неполные средние и средние</t>
  </si>
  <si>
    <t>Больницы, клиники, госпитали, медико-санитарные части</t>
  </si>
  <si>
    <t>Подраздел</t>
  </si>
  <si>
    <t>Целевая статья</t>
  </si>
  <si>
    <t>в том числе за счет межбюджетных трансфертов</t>
  </si>
  <si>
    <t>13</t>
  </si>
  <si>
    <t>11</t>
  </si>
  <si>
    <t xml:space="preserve">Физическая культура </t>
  </si>
  <si>
    <t>Здравоохранение</t>
  </si>
  <si>
    <t xml:space="preserve">Здравоохранение </t>
  </si>
  <si>
    <t>Физическая культура</t>
  </si>
  <si>
    <t>901</t>
  </si>
  <si>
    <t>902</t>
  </si>
  <si>
    <t>903</t>
  </si>
  <si>
    <t>905</t>
  </si>
  <si>
    <t>906</t>
  </si>
  <si>
    <t>907</t>
  </si>
  <si>
    <t>795 04 00</t>
  </si>
  <si>
    <t>Долгосрочная городская  целевая программа "Развитие муниципальной службы в городе Долгопрудном на период 2011-2013 гг"</t>
  </si>
  <si>
    <t>Долгосрочная городская целевая программа "Развитие и поддержка территориального общественного самоуправления, взаимодействия органов местного самоуправления с общественными объединениями социальной направленности, предприятиями, организациями, учреждениями города Долгопрудного на 2010-2012 годы"</t>
  </si>
  <si>
    <t>795 02 00</t>
  </si>
  <si>
    <t>Долгосрочная городская целевая программа "Развитие субъектов малого и среднего предпринимательства в городе Долгопрудном Московской области на период 2010-2012 годы"</t>
  </si>
  <si>
    <t>Муниципальная долгосрочная целевая программа по замене аварийного внутридомового газового оборудования в многоквартирных жилых домах г.Долгопрудного на 2009-2015 гг.</t>
  </si>
  <si>
    <t>795 10 00</t>
  </si>
  <si>
    <t>Долгосрочная целевая программа "Развитие сферы культуры на 2011-2015 годы"</t>
  </si>
  <si>
    <t>795 09 00</t>
  </si>
  <si>
    <t xml:space="preserve">Долгосрочная целевая  программа "Молодое поколение Долгопрудного на2011-2015 годы" </t>
  </si>
  <si>
    <t>795 05 00</t>
  </si>
  <si>
    <t>Долгосрочная городская  целевая программа "Развитие муниципальной службы в городе Долгопрудном на период 2011-2013 годов"</t>
  </si>
  <si>
    <t xml:space="preserve"> и видам расходов  бюджета</t>
  </si>
  <si>
    <t xml:space="preserve"> Комитет по управлению имуществом                  г. Долгопрудный</t>
  </si>
  <si>
    <t>092 99 00</t>
  </si>
  <si>
    <t>Администрация города Долгопрудного</t>
  </si>
  <si>
    <t>440 02 00</t>
  </si>
  <si>
    <t>Культура и кинематография</t>
  </si>
  <si>
    <t>Коммунальное хозяйство</t>
  </si>
  <si>
    <t>Другие вопросы в области культуры</t>
  </si>
  <si>
    <t>522 00 00</t>
  </si>
  <si>
    <t>Региональные целевые программы</t>
  </si>
  <si>
    <t xml:space="preserve">Руководство и управление в сфере установленных функций </t>
  </si>
  <si>
    <t>001 00 00</t>
  </si>
  <si>
    <t>Долгосрочная городская  целевая программа "Развитие муниципальной службы в городе Долгопрудном на период 2011-2013 гг."</t>
  </si>
  <si>
    <t>Учреждения культуры и мероприятия в сфере культуры и кинематографии</t>
  </si>
  <si>
    <t>Расходы бюджета городского округа Долгопрудный  на 2012  г. по разделам, подразделам, целевым статьям</t>
  </si>
  <si>
    <t>Ведомственная структура расходов  бюджета городского округа Долгопрудный  на   2012 год</t>
  </si>
  <si>
    <t>001 36 00</t>
  </si>
  <si>
    <t>Осуществление первичного воинского учета на территориях, где отсутствуют военные комиссариаты</t>
  </si>
  <si>
    <t>Уплата налога на имущество организаций и земельного налога</t>
  </si>
  <si>
    <t>002 95 00</t>
  </si>
  <si>
    <t>420 95 00</t>
  </si>
  <si>
    <t>421 95 00</t>
  </si>
  <si>
    <t>423 95 00</t>
  </si>
  <si>
    <t>452 95 00</t>
  </si>
  <si>
    <t>482 95 00</t>
  </si>
  <si>
    <t>442 95 00</t>
  </si>
  <si>
    <t>440 95 00</t>
  </si>
  <si>
    <t>441 95 00</t>
  </si>
  <si>
    <t>443 95 00</t>
  </si>
  <si>
    <t>431 95 00</t>
  </si>
  <si>
    <t>Долгосрочная целевая программа г.Долгопрудного "Дополнительные меры социальной поддержки отдельных категорий граждан г.Долгопрудного на 2012-2015 г.г."</t>
  </si>
  <si>
    <r>
      <t xml:space="preserve"> Долгосрочная целевая программа "Муниципальная программа " Развитие физической культуры и спорта в г.Долгопрудном на 2012-2015 годы"" </t>
    </r>
    <r>
      <rPr>
        <b/>
        <sz val="11"/>
        <rFont val="Arial"/>
        <family val="2"/>
      </rPr>
      <t>"Спортивный комплекс стадиона "Салют" (реконструкция под многофункциональный спортивный комплекс со строительством здания физкультурно-оздоровительного комплекса), расположенный по адресу: Московская область, г.Долгопрудный, пересечение ул.Летная и ул.Дирижабельная"</t>
    </r>
  </si>
  <si>
    <t xml:space="preserve"> Долгосрочная целевая программа "Муниципальная программа " Развитие физической культуры и спорта в г.Долгопрудном на 2012-2015 годы"" </t>
  </si>
  <si>
    <t>Долгосрочная целевая программа "Защита населения и территории города Долгопрудный от чрезвычайных ситуаций на 2012-2015 годы"</t>
  </si>
  <si>
    <t>Программа комплексного развития систем коммунальной инфраструктуры городского округа Долгопрудный на 2010-2015 годы</t>
  </si>
  <si>
    <t xml:space="preserve">Бюджетные инвестиции </t>
  </si>
  <si>
    <t>904</t>
  </si>
  <si>
    <t>Долгосрочная целевая программа "Муниципальная целевая программа по выполнению работ по капитальному ремонту многоквартирных жилых домов г.Долгопрудного в части замены лифтов на 2012-2016 гг"</t>
  </si>
  <si>
    <t>Муниципальная долгосрочная целевая программа по проведению капитального ремонта в многоквартирных жилых домах города Долгопрудного на 2012-2016 годы</t>
  </si>
  <si>
    <t>795 08 00</t>
  </si>
  <si>
    <t>Долгосрочная целевая программа "Благоустройство территорий города Долгопрудного на период 2012-2014 годы"</t>
  </si>
  <si>
    <t>Долгосрочная целевая программа "Обеспечение жильем молодых семей в г.Долгопрудный на 2009-2012 годы"</t>
  </si>
  <si>
    <t>Долгосрочная целевая Программа "Профилактика преступлений и иных правонарушений на территории городского округа Долгопрудный на 2012-2014 годы"</t>
  </si>
  <si>
    <t>795 11 00</t>
  </si>
  <si>
    <t>795 12 00</t>
  </si>
  <si>
    <t>795 13 00</t>
  </si>
  <si>
    <t>795 14 00</t>
  </si>
  <si>
    <t>795 15 00</t>
  </si>
  <si>
    <t>795 16 00</t>
  </si>
  <si>
    <t>795 17 00</t>
  </si>
  <si>
    <t>Долгосрочная целевая программа   "Дети Долгопрудного " на 2012-2015 годы"</t>
  </si>
  <si>
    <t>Субсидии юридическим лицам</t>
  </si>
  <si>
    <t xml:space="preserve">Муниципальная программа размещения дополнительных гостевых парковок на дворовых и сопряженных с ними территориях в г.Долгопрудном на период  2011-2014 годы </t>
  </si>
  <si>
    <t>795 18 00</t>
  </si>
  <si>
    <r>
      <t>Бюджетные инвестиции</t>
    </r>
    <r>
      <rPr>
        <sz val="11"/>
        <rFont val="Arial"/>
        <family val="2"/>
      </rPr>
      <t xml:space="preserve"> (Реконструкция канализационного коллектора от КНС "Хлебниково" до КНС "Котово" г.Долгопрудный, Переходы через Клязьменское водохранилище и ул.Московская (ПИР и СМР)</t>
    </r>
  </si>
  <si>
    <t>Управление администрации г. Долгопрудного по работе в микрорайонах Шереметьевский, Хлебниково, Павельцево</t>
  </si>
  <si>
    <t>Финансовое управление администрации                         г.Долгопрудного</t>
  </si>
  <si>
    <t>Управление культуры, физической культуры, спорта, туризма и молодежной политики администрации города Долгопрудного</t>
  </si>
  <si>
    <t xml:space="preserve">    Управление образования   Администрации г.Долгопрудного</t>
  </si>
  <si>
    <t>522 15 01</t>
  </si>
  <si>
    <t>522 15 00</t>
  </si>
  <si>
    <t>Долгосрочная целевая программа Московской области "Жилище" на 2009-2012 годы"</t>
  </si>
  <si>
    <t>Подпрограмма "Модернизация объектов коммунальной инфраструктуры"</t>
  </si>
  <si>
    <r>
      <t>Бюджетные инвестиции</t>
    </r>
    <r>
      <rPr>
        <sz val="11"/>
        <rFont val="Arial"/>
        <family val="2"/>
      </rPr>
      <t xml:space="preserve"> (Реконструкция канализационного коллектора от КНС "Хлебниково" до КНС "Котово" г.Долгопрудный, Переходы через Клязьменское водохранилище и ул.Московская </t>
    </r>
  </si>
  <si>
    <t>Обеспечение мероприятий по капитальному ремонту многоквартирных домов</t>
  </si>
  <si>
    <t>098 00 00</t>
  </si>
  <si>
    <t>Обеспечение мероприятий по капитальному ремонту многоквартирных домов 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</si>
  <si>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098 01 00</t>
  </si>
  <si>
    <t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</si>
  <si>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 xml:space="preserve">098 01 01 </t>
  </si>
  <si>
    <t>Обеспечение мероприятий по капитальному ремонту многоквартирных домов за счет средств бюджетов</t>
  </si>
  <si>
    <t>098 02 00</t>
  </si>
  <si>
    <t>098 02 01</t>
  </si>
  <si>
    <t>522 26 01</t>
  </si>
  <si>
    <t>Капитальные  вложения в объекты дошкольного образования</t>
  </si>
  <si>
    <t>Капитальные  вложения в объекты общественной инфраструктуры</t>
  </si>
  <si>
    <t>522 15 07</t>
  </si>
  <si>
    <r>
      <t>Бюджетные инвестиции</t>
    </r>
    <r>
      <rPr>
        <sz val="11"/>
        <rFont val="Arial"/>
        <family val="2"/>
      </rPr>
      <t xml:space="preserve">  </t>
    </r>
  </si>
  <si>
    <r>
      <t xml:space="preserve">Бюджетные инвестиции </t>
    </r>
    <r>
      <rPr>
        <b/>
        <sz val="11"/>
        <rFont val="Arial"/>
        <family val="2"/>
      </rPr>
      <t xml:space="preserve"> "Спортивный комплекс стадиона "Салют" (реконструкция под многофункциональный спортивный комплекс со строительством здания физкультурно-оздоровительного комплекса), расположенный по адресу: Московская область, г.Долгопрудный, пересечение ул.Летная и ул.Дирижабельная"</t>
    </r>
  </si>
  <si>
    <t xml:space="preserve">Муниципальная комплексная программа "Дети Долгопрудного " на 2011-2012 годы" </t>
  </si>
  <si>
    <t>350 00 00</t>
  </si>
  <si>
    <t>Поддержка жилищного хозяйства</t>
  </si>
  <si>
    <t xml:space="preserve">Мероприятия в области жилищного хозяйства </t>
  </si>
  <si>
    <t>350 03 00</t>
  </si>
  <si>
    <t>Муниципальная целевая программа в области энергосбережения и повышения энергетической эффективности в городе Долгопрудном на 2010-2020 годы</t>
  </si>
  <si>
    <t>795 19 00</t>
  </si>
  <si>
    <t>Муниципальная адресная долгосрочная целевая программа поэтапного перехода на отпуск коммунальных ресурсов потребителям в соответствии с показаниями коллективных (общедомовых) приборов учета в многоквартирных жилых домах на территории г.Долгопрудного на 2009-2011 годы</t>
  </si>
  <si>
    <t>795 20 00</t>
  </si>
  <si>
    <t>Долгосрочная целевая программа г.Долгопрудного "Муниципальная целевая программа мероприятий по охране окружающей среды на территории города Долгопрудного на 2012-2016 годы"</t>
  </si>
  <si>
    <t>Осуществление полномочий органов местного самоуправления</t>
  </si>
  <si>
    <t>120</t>
  </si>
  <si>
    <t>Приложение № 5</t>
  </si>
  <si>
    <t xml:space="preserve">к решению Совета депутатов </t>
  </si>
  <si>
    <t>(Приложение №5</t>
  </si>
  <si>
    <t xml:space="preserve">                       к решению Совета депутатов </t>
  </si>
  <si>
    <t xml:space="preserve">               от 23.12.2011г. №157-нр)</t>
  </si>
  <si>
    <t>Приложение № 3</t>
  </si>
  <si>
    <t>(Приложение №3</t>
  </si>
  <si>
    <t>от 23.12.2011г. №157-нр)</t>
  </si>
  <si>
    <t>436 00 00</t>
  </si>
  <si>
    <t>610</t>
  </si>
  <si>
    <t>620</t>
  </si>
  <si>
    <t>Внедрение современных образовательных технологий</t>
  </si>
  <si>
    <t>Субсидии бюджетным учреждениям</t>
  </si>
  <si>
    <t>Субсидии автономным учреждениям</t>
  </si>
  <si>
    <t>421 10 10</t>
  </si>
  <si>
    <t>200</t>
  </si>
  <si>
    <t>Закупка товаров, работ и услуг для муниципальных нужд</t>
  </si>
  <si>
    <t>421 10 13</t>
  </si>
  <si>
    <t>630</t>
  </si>
  <si>
    <t>Субсидии некоммерческим организациям (за исключением муниципальных учреждений)</t>
  </si>
  <si>
    <t>Финансирование частичной компенсации стоимости питания отдельным категориям обучающихся в школах- детских садах, школах начальных средних т средних (оказание муниципальных услуг)</t>
  </si>
  <si>
    <t>Финансирование расходов на оплату труда работников школ- детских садов, школ начальных, неполных средних и средних, расходов на учебники и учебные пособия, технические средства обучения, расходные материалы и хозяйственные нужды, (за исключением расходов на содержание зданий и коммунальных расходов, осуществляемых из местных бюджетов), расходов на ежемесячную денежную компенсацию педагогическим работникам в целях содействия их обеспечения книгоиздательской продукцией и периодическими изданиями (оказание муниципальных услуг)</t>
  </si>
  <si>
    <t>421 10 19</t>
  </si>
  <si>
    <t>002 04 08</t>
  </si>
  <si>
    <t>002 04 07</t>
  </si>
  <si>
    <t xml:space="preserve">Центральный аппарат(обеспечение  полномочий в сфере образования и организации деятельности комиссий по делам несовершеннолетних и защите их прав городов и районов) </t>
  </si>
  <si>
    <t>002 04 01</t>
  </si>
  <si>
    <t>Расходы на содержание и обеспечение деятельности больниц, клиник, госпиталей, медико-санитарных частей (оказание муниципальных услуг)</t>
  </si>
  <si>
    <t>470 10 05</t>
  </si>
  <si>
    <t>Расходы на содержание и обеспечение деятельности родильных домов (оказание муниципальных услуг)</t>
  </si>
  <si>
    <t>476 10 05</t>
  </si>
  <si>
    <t>471 10 05</t>
  </si>
  <si>
    <t>Расходы на содержание и обеспечение деятельности поликлиник, амбулаторий, диагностических центров (содержание имущества, необходимого для оказания муниципальных услуг)</t>
  </si>
  <si>
    <t>470 20 05</t>
  </si>
  <si>
    <t>470 99 99</t>
  </si>
  <si>
    <t>476 20 05</t>
  </si>
  <si>
    <t>Расходы на содержание и обеспечение деятельности больниц, клиник, госпиталей, медико-санитарных частей (содержание имущества, необходимого для оказания муниципальных услуг)</t>
  </si>
  <si>
    <t>Расходы на содержание и обеспечение деятельности родильных домов ( содержание имущества, необходимого для оказания муниципальных услуг)</t>
  </si>
  <si>
    <t>471 20 05</t>
  </si>
  <si>
    <t>Расходы на содержание и обеспечение деятельности поликлиник, амбулаторий, диагностических центров (оказание муниципальных услуг)</t>
  </si>
  <si>
    <t>477 10 05</t>
  </si>
  <si>
    <t>Расходы на содержание и обеспечение деятельности станций скорой и неотложной помощи (оказание муниципальных услуг)</t>
  </si>
  <si>
    <t>Расходы на содержание и обеспечение деятельности станций скорой и неотложной помощи (содержание имущества, необходимого для оказания муниципальных услуг)</t>
  </si>
  <si>
    <t>477 20 05</t>
  </si>
  <si>
    <t>470 10 06</t>
  </si>
  <si>
    <t>Расходы на содержание и обеспечение питанием, одеждой, обувью и мягким инвентарем детей-сирот и детей, оставшихся без попечения родителей, находящихся в лечебно-профилактических учреждениях МО</t>
  </si>
  <si>
    <t>470 30 05</t>
  </si>
  <si>
    <t>Расходы на содержание и обеспечение деятельности больниц, клиник, госпиталей, медико-санитарных частей (прочие расходы)</t>
  </si>
  <si>
    <t>476 30 05</t>
  </si>
  <si>
    <t>Расходы на содержание и обеспечение деятельности родильных домов ( прочие расходы )</t>
  </si>
  <si>
    <t>471 10 04</t>
  </si>
  <si>
    <t xml:space="preserve">Расходы на обеспечение полноценным питанием беременных женщин, кормящих матерей, а также детей в возрасте до трех лет </t>
  </si>
  <si>
    <t>471 30 05</t>
  </si>
  <si>
    <t>Расходы на содержание и обеспечение деятельности поликлиник, амбулаторий, диагностических центров (прочие расходы)</t>
  </si>
  <si>
    <t>477 30 05</t>
  </si>
  <si>
    <t>Расходы на содержание и обеспечение деятельности станций скорой и неотложной помощи (прочие расходы)</t>
  </si>
  <si>
    <t>470 99 00</t>
  </si>
  <si>
    <t>452 10 02</t>
  </si>
  <si>
    <t>Оплата труда работников централизованных бухгалтерий (оказание муниципальных услуг)</t>
  </si>
  <si>
    <t>612</t>
  </si>
  <si>
    <t>Субсидии бюджетным учреждениям на иные цели</t>
  </si>
  <si>
    <t>Центральный аппарат(отделы, обеспечивающие предоставление гражданам РФ, имеющим место жительства в Московской области, субсидий на оплату жилого помещения и коммунальных услуг и находящихся в составе администрации муниципального образования или в структуре правомочного учреждения)</t>
  </si>
  <si>
    <t>Центральный аппарат(обеспечение переданных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архивах)</t>
  </si>
  <si>
    <t>Мобилизационная и вневойсковая подготовка</t>
  </si>
  <si>
    <t>Финансовая поддержка негосударственных школ-детских садов, школ начальных, неполных средних и средних в части расходов на оплату труда работника негосударственных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услуг) (оказание муниципальных услуг)</t>
  </si>
  <si>
    <t>Центральный аппарат(отделы, обеспечивающие предоставление гражданам РФ, имеющим место жительства в Московской области, субсидий на оплату жилого помещения и коммунальных услуг и находящихся в составе администрации муниципального образования или в структуре управомочного учреждения)</t>
  </si>
  <si>
    <t>421 30 10</t>
  </si>
  <si>
    <t>Финансирование расходов на оплату труда работников школ- детских садов, школ начальных, неполных средних и средних, расходов на учебники и учебные пособия, технические средства обучения, расходные материалы и хозяйственные нужды, (за исключением расходов на содержание зданий и коммунальных расходов, осуществляемых из местных бюджетов), расходов на ежемесячную денежную компенсацию педагогическим работникам в целях содействия их обеспечения книгоиздательской продукцией и периодическими изданиями (прочие расходы)</t>
  </si>
  <si>
    <t xml:space="preserve">07 </t>
  </si>
  <si>
    <t>Мероприятия по проведению оздоровительной кампании детей</t>
  </si>
  <si>
    <t>522 17 00</t>
  </si>
  <si>
    <t>Долгосрочная целевая программа Московской области "Дороги Подмосковья на период 2012-2015 годов"</t>
  </si>
  <si>
    <t>432 00 04</t>
  </si>
  <si>
    <t>522 10 00</t>
  </si>
  <si>
    <t>522 10 98</t>
  </si>
  <si>
    <t xml:space="preserve">522 10 98 </t>
  </si>
  <si>
    <t>Долгосрочная целевая программа Московской области "Развитие образования в Московской области на 2009-2012 год"</t>
  </si>
  <si>
    <t>Обеспечение дополнительными местами в муниципальных дошкольных образовательных учреждениях, в том числе на проведение текущего, капитального ремонта, ремонта ограждений, приобретение оборудования, мебели, мягкого инвентаря</t>
  </si>
  <si>
    <t>Федеральные целевые программы</t>
  </si>
  <si>
    <t>Федеральная целевая программа "Жилище" на 2011-2015 годы</t>
  </si>
  <si>
    <t>100 00 00</t>
  </si>
  <si>
    <t>100 88 00</t>
  </si>
  <si>
    <t>100 88 11</t>
  </si>
  <si>
    <t xml:space="preserve">Обеспечение жильем инвалидов войны и инвалидов боевых действий, участников ВОВ, ветеранов боевых действий, военнослужащих, проходивших военную службу в период с 22 июня 1941 года по 3 сентября 1945 года, граждан награжденных знаком "Жителю блокадного Ленинграда, лиц, работавших на военных объектах в период ВОВ, членов семей погибших (умерших) инвалидов войны, участников ВОВ, ветеранов боевых действий, инвалидов и семей, имеющих детей-инвалидов </t>
  </si>
  <si>
    <t>505 34 00</t>
  </si>
  <si>
    <t>Обеспечение жильем отдельных категорий граждан, установленных ФЗ от 12 января 1995 года №5-ФЗ О ветеранах" и  от 24 ноября 1995 года №181-ФЗ "О социальной защите инвалидов в РФ"</t>
  </si>
  <si>
    <t>505 34 02</t>
  </si>
  <si>
    <t>522 09 14</t>
  </si>
  <si>
    <t>522 09 00</t>
  </si>
  <si>
    <t>Долгосрочная целевая программа Московской области "Предупреждение и борьба  с заболеваниями социального характера в Московской области на 2009-2012 годы"</t>
  </si>
  <si>
    <t>Подпрограмма "Модернизация здравоохранения Московской области на 2011-2012 годы</t>
  </si>
  <si>
    <t>Другие вопросы в области здравоохранения</t>
  </si>
  <si>
    <t>431 10 02</t>
  </si>
  <si>
    <t>611</t>
  </si>
  <si>
    <t>522 10 41</t>
  </si>
  <si>
    <t>Закупка учебного оборудования и мебели для муниципальных общеобразовательных учреждений - победителей областного конкурса муниципальных общеобразовательных учреждений, разрабатывающих и внедряющих инновационные образовательные программы</t>
  </si>
  <si>
    <t>522 28 00</t>
  </si>
  <si>
    <t>Долгосрочная целевая программа Московской области "Совершенствование организации питания обучающихся муниципальных общеобразовательных учреждений в Московской области на период 2012-2014 годов"</t>
  </si>
  <si>
    <t>522 28 31</t>
  </si>
  <si>
    <t>436 21 00</t>
  </si>
  <si>
    <t>Модернизация региональной системы образования</t>
  </si>
  <si>
    <r>
      <t xml:space="preserve">Бюджетные инвестиции </t>
    </r>
    <r>
      <rPr>
        <sz val="11"/>
        <rFont val="Arial"/>
        <family val="2"/>
      </rPr>
      <t>(Монтаж циркулярного трубопровода ГВС к жилым домам №№20,22,24,26,28 по ул.Первомайская, №№ 17,16,19,20,21,22 по ул.Менделеева, №№ 19,21 по Московскому шоссе г.Долгопрудного</t>
    </r>
  </si>
  <si>
    <t>Закупка технологического оборудования для столовых и мебели для залов питания общеобразовательных учреждений муниципальных образований - победителей областного конкурсного отбора муниципальных проектов совершенствования организации питания обучающихся</t>
  </si>
  <si>
    <t>Вид  расходов</t>
  </si>
  <si>
    <t>522 15 14</t>
  </si>
  <si>
    <t>522 17 83</t>
  </si>
  <si>
    <t>522 17 84</t>
  </si>
  <si>
    <t>Финансирование работ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</t>
  </si>
  <si>
    <t>Финансирование работ по капитальному ремонту и ремонту автомобильных дорог общего пользования населенных пунктов</t>
  </si>
  <si>
    <t>522 32 00</t>
  </si>
  <si>
    <t>Долгосрочная целевая программа Московской области "Развитие системы отдыха и оздоровления детей в Московской области в 2012-2015 годах"</t>
  </si>
  <si>
    <t>Проведение мероприятий по комплексному развитию коммунальной инфраструктуры с целью организации теплоснабжения с долгосрочной целевой программой Московской области "Жилище" на 2009-2012 годы"</t>
  </si>
  <si>
    <t>320</t>
  </si>
  <si>
    <t>Социальные выплаты гражданам, кроме публичных нормативных социальных выплат</t>
  </si>
  <si>
    <t>810</t>
  </si>
  <si>
    <t>400</t>
  </si>
  <si>
    <t>520 10 30</t>
  </si>
  <si>
    <t>Компенсация части родительской платы за содержание ребенка в государственных и муниципальных образовательных учреждениях , реализующих основную общеобразовательную программу дошкольного образования (прочие расходы)</t>
  </si>
  <si>
    <t>300</t>
  </si>
  <si>
    <t>Социальные выплаты и иные выплаты населению</t>
  </si>
  <si>
    <t>522 32 41</t>
  </si>
  <si>
    <t>436 30 03</t>
  </si>
  <si>
    <t>Внедрение современных образовательных технологий                  (прочие расходы)</t>
  </si>
  <si>
    <t>321</t>
  </si>
  <si>
    <t>Пособия и компенсации гражданам и иные социальные выплаты, кроме публичных нормативных обязательств</t>
  </si>
  <si>
    <t>Организация и осуществление мероприятий по работе с детьми и молодежью в муниципальных образованиях (оказание муниципальных услуг)</t>
  </si>
  <si>
    <t>Субсидии бюджетным учреждениям на финансовое обеспечение государственного задания на оказание муниципальных услуг (выполнение работ)</t>
  </si>
  <si>
    <t>908</t>
  </si>
  <si>
    <t>Субсидии юридическим лицам (кроме муниципальных учреждений) и физическим лицам-производитетям товаров, работ, услуг</t>
  </si>
  <si>
    <t xml:space="preserve">Контрольно-ревизионная комиссия города Долгопрудного </t>
  </si>
  <si>
    <t>Бюджетные инвестиции (Здание дошкольного образовательного учреждения на 12 групп ул.Спортивная, северная сторона дома 7а )</t>
  </si>
  <si>
    <r>
      <t>Бюджетные инвестиции</t>
    </r>
    <r>
      <rPr>
        <sz val="11"/>
        <rFont val="Arial"/>
        <family val="2"/>
      </rPr>
      <t xml:space="preserve"> (Здание дошкольного образовательного учреждения на 12 групп ул.Спортивная, северная сторона дома 7а )</t>
    </r>
  </si>
  <si>
    <r>
      <t xml:space="preserve">Бюджетные инвестиции  </t>
    </r>
    <r>
      <rPr>
        <sz val="11"/>
        <rFont val="Arial"/>
        <family val="2"/>
      </rPr>
      <t>Строительство новых и реконструкция существующих линий наружного освещений</t>
    </r>
  </si>
  <si>
    <r>
      <t xml:space="preserve">Бюджетные инвестиции </t>
    </r>
    <r>
      <rPr>
        <sz val="11"/>
        <rFont val="Arial"/>
        <family val="2"/>
      </rPr>
      <t>(ПИР на реконструкцию и модернизацию котельной по ул.Заводская 2)</t>
    </r>
  </si>
  <si>
    <t>600 00 00</t>
  </si>
  <si>
    <t>Озеленение</t>
  </si>
  <si>
    <t>600 03 00</t>
  </si>
  <si>
    <t>Прочие мероприятия по благоустройству городских округов и поселений</t>
  </si>
  <si>
    <t>600 05 00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</si>
  <si>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</si>
  <si>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</si>
  <si>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001 40 00</t>
  </si>
  <si>
    <t>Обеспечение жильем отдельных категорий граждан, установленных ФЗ от 12 января 1995 года №5-ФЗ "О ветеранах" в соответствии с Указом Президента Российской Федерации от 07 мая 2008 года №714 " Об обеспечении жильем ветеранов ВОВ 1941-1945 годов"</t>
  </si>
  <si>
    <t>505 34 01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</si>
  <si>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</si>
  <si>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505 21 00</t>
  </si>
  <si>
    <t>505 21 02</t>
  </si>
  <si>
    <t>Федеральный закон от 21 декабря 1996 года №159-ФЗ "О дополнительных гарантиях по социальной поддержке детей-сирот и детей, оставшихся без попечения родителей"</t>
  </si>
  <si>
    <t>522 15 04</t>
  </si>
  <si>
    <t>Подпрограмма "Обеспечение жильем молодых семей"</t>
  </si>
  <si>
    <t>100 88 20</t>
  </si>
  <si>
    <t>Обеспечение жильем граждан, уволенных с военной службы (службы), и приравненных к ним лиц</t>
  </si>
  <si>
    <t>Обеспечение жильем молодых семей</t>
  </si>
  <si>
    <t>Установка программного обеспечения и подключение муниципальных библиотек к информационно-телекоммуникационной сети "Интернет" (прочие расходы)</t>
  </si>
  <si>
    <t>442 30 20</t>
  </si>
  <si>
    <r>
      <t>Бюджетные инвестиции</t>
    </r>
    <r>
      <rPr>
        <sz val="11"/>
        <rFont val="Arial"/>
        <family val="2"/>
      </rPr>
      <t xml:space="preserve"> (ПИР по строительству дошкольного образовательного учреждения с бассейном на 250 мест по адресу: Московская область г.Долгопрудный,Лихачевское шоссе, в районе д.10) </t>
    </r>
  </si>
  <si>
    <t xml:space="preserve">Поддержка коммунального хозяйства </t>
  </si>
  <si>
    <t>351 00 00</t>
  </si>
  <si>
    <t>Мероприятия в области коммунального хозяйства</t>
  </si>
  <si>
    <t>351 05 00</t>
  </si>
  <si>
    <t>522 09 13</t>
  </si>
  <si>
    <t>Раздел "Укрепление материально-технической базы государственных учреждений здравоохранения Московской области"</t>
  </si>
  <si>
    <t>Комплектование книжных фондов библиотек муниципальных образований, установка программного обеспечения</t>
  </si>
  <si>
    <t>Комплектование книжных фондов библиотек городских округов, установка программного обеспечения</t>
  </si>
  <si>
    <r>
      <t>Бюджетные инвестиции</t>
    </r>
    <r>
      <rPr>
        <sz val="11"/>
        <rFont val="Arial"/>
        <family val="2"/>
      </rPr>
      <t xml:space="preserve"> (Строительство детского сада на 250 мест с бассейном по адресу МО, г.Долгопрудный микрорайон Центральный) </t>
    </r>
  </si>
  <si>
    <t>Комплектование книжных фондов библиотек муниципальных образований</t>
  </si>
  <si>
    <t>Комплектование книжных фондов библиотек городских округов</t>
  </si>
  <si>
    <t>522 26 00</t>
  </si>
  <si>
    <t>Обеспечение дополнительными местами в муниципальных дошкольных образовательных учреждениях</t>
  </si>
  <si>
    <t xml:space="preserve">Долгосрочная целевая программа Московской области "Развитие дошкольного образования в Московской области в 2012-2014 годах"" </t>
  </si>
  <si>
    <t xml:space="preserve">Долгосрочная целевая программа Московской области "Развитие дошкольного образования в Московской области в 2012-2014 годах" </t>
  </si>
  <si>
    <t>Долгосрочная целевая программа Московской области "Развитие дошкольного образования в Московской области в 2012-2014 годах"</t>
  </si>
  <si>
    <t>522 26 42</t>
  </si>
  <si>
    <t>522 10 47</t>
  </si>
  <si>
    <t>Повышение с 1 декабря 2012 года оплаты труда педагогических работников дошкольных образовательных учреждений</t>
  </si>
  <si>
    <t>522 13 00</t>
  </si>
  <si>
    <t>Долгосрочная целевая программа Московской области "Развитие субъектов малого и среднего предпринимтельства в Московской области на 2009-2012 годы"</t>
  </si>
  <si>
    <t>Субсидии юридическим лицам (кроме муниципальных учреждений) и физическим лицам-производителям товаров, работ, услуг</t>
  </si>
  <si>
    <t>522 26 43</t>
  </si>
  <si>
    <t>Реализация мероприятий по созданию новых мест в негосударственных дошкольных образовательных учреждениях</t>
  </si>
  <si>
    <r>
      <t>Бюджетные инвестиции</t>
    </r>
    <r>
      <rPr>
        <sz val="11"/>
        <rFont val="Arial"/>
        <family val="2"/>
      </rPr>
      <t xml:space="preserve"> (Здание дошкольного образовательного учреждения на 250 мест с бассейном ул.Лихачевское шоссе в районе д.10 (ПИР ))</t>
    </r>
  </si>
  <si>
    <t xml:space="preserve"> Представительный орган муниципального образования города Долгопрудного Московской области - Совет депутатов города Долгопрудного Московской области</t>
  </si>
  <si>
    <t>от 22.10.2012г. №142-нр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</si>
</sst>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0"/>
    <numFmt numFmtId="171" formatCode="0.0000000000"/>
    <numFmt numFmtId="172" formatCode="0.00000000"/>
    <numFmt numFmtId="173" formatCode="_-* #,##0.000_р_._-;\-* #,##0.000_р_._-;_-* &quot;-&quot;??_р_._-;_-@_-"/>
    <numFmt numFmtId="174" formatCode="_-* #,##0.0_р_._-;\-* #,##0.0_р_._-;_-* &quot;-&quot;??_р_._-;_-@_-"/>
    <numFmt numFmtId="175" formatCode="_-* #,##0.0_р_._-;\-* #,##0.0_р_._-;_-* &quot;-&quot;?_р_._-;_-@_-"/>
  </numFmts>
  <fonts count="38">
    <font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sz val="8"/>
      <name val="Times New Roman Cyr"/>
      <family val="1"/>
    </font>
    <font>
      <u val="single"/>
      <sz val="12"/>
      <color indexed="12"/>
      <name val="Times New Roman Cyr"/>
      <family val="0"/>
    </font>
    <font>
      <u val="single"/>
      <sz val="12"/>
      <color indexed="36"/>
      <name val="Times New Roman Cyr"/>
      <family val="0"/>
    </font>
    <font>
      <sz val="8"/>
      <name val="Times New Roman CYR"/>
      <family val="1"/>
    </font>
    <font>
      <sz val="12"/>
      <name val="Arial"/>
      <family val="2"/>
    </font>
    <font>
      <sz val="10"/>
      <name val="Arial"/>
      <family val="2"/>
    </font>
    <font>
      <sz val="12"/>
      <color indexed="10"/>
      <name val="Times New Roman Cyr"/>
      <family val="1"/>
    </font>
    <font>
      <sz val="11"/>
      <name val="Times New Roman CYR"/>
      <family val="1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1"/>
      <name val="Times New Roman Cyr"/>
      <family val="0"/>
    </font>
    <font>
      <sz val="11"/>
      <name val="Arial Cyr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b/>
      <sz val="12"/>
      <color indexed="10"/>
      <name val="Times New Roman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4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7" fillId="0" borderId="0" xfId="0" applyFont="1" applyAlignment="1">
      <alignment wrapText="1"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wrapText="1"/>
    </xf>
    <xf numFmtId="0" fontId="11" fillId="0" borderId="0" xfId="0" applyFont="1" applyAlignment="1">
      <alignment/>
    </xf>
    <xf numFmtId="0" fontId="13" fillId="0" borderId="11" xfId="0" applyFont="1" applyBorder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12" fillId="0" borderId="0" xfId="0" applyFont="1" applyAlignment="1">
      <alignment/>
    </xf>
    <xf numFmtId="49" fontId="13" fillId="0" borderId="12" xfId="0" applyNumberFormat="1" applyFont="1" applyBorder="1" applyAlignment="1">
      <alignment/>
    </xf>
    <xf numFmtId="49" fontId="17" fillId="0" borderId="13" xfId="0" applyNumberFormat="1" applyFont="1" applyBorder="1" applyAlignment="1">
      <alignment/>
    </xf>
    <xf numFmtId="49" fontId="13" fillId="0" borderId="14" xfId="0" applyNumberFormat="1" applyFont="1" applyBorder="1" applyAlignment="1">
      <alignment/>
    </xf>
    <xf numFmtId="164" fontId="13" fillId="0" borderId="14" xfId="0" applyNumberFormat="1" applyFont="1" applyBorder="1" applyAlignment="1">
      <alignment/>
    </xf>
    <xf numFmtId="0" fontId="13" fillId="0" borderId="15" xfId="0" applyFont="1" applyBorder="1" applyAlignment="1">
      <alignment wrapText="1"/>
    </xf>
    <xf numFmtId="49" fontId="13" fillId="0" borderId="16" xfId="0" applyNumberFormat="1" applyFont="1" applyBorder="1" applyAlignment="1">
      <alignment/>
    </xf>
    <xf numFmtId="49" fontId="13" fillId="0" borderId="17" xfId="0" applyNumberFormat="1" applyFont="1" applyBorder="1" applyAlignment="1">
      <alignment/>
    </xf>
    <xf numFmtId="164" fontId="13" fillId="0" borderId="17" xfId="0" applyNumberFormat="1" applyFont="1" applyBorder="1" applyAlignment="1">
      <alignment/>
    </xf>
    <xf numFmtId="49" fontId="17" fillId="0" borderId="18" xfId="0" applyNumberFormat="1" applyFont="1" applyBorder="1" applyAlignment="1">
      <alignment/>
    </xf>
    <xf numFmtId="49" fontId="17" fillId="0" borderId="19" xfId="0" applyNumberFormat="1" applyFont="1" applyBorder="1" applyAlignment="1">
      <alignment/>
    </xf>
    <xf numFmtId="164" fontId="17" fillId="0" borderId="19" xfId="0" applyNumberFormat="1" applyFont="1" applyBorder="1" applyAlignment="1">
      <alignment/>
    </xf>
    <xf numFmtId="0" fontId="13" fillId="0" borderId="19" xfId="0" applyFont="1" applyBorder="1" applyAlignment="1">
      <alignment wrapText="1"/>
    </xf>
    <xf numFmtId="49" fontId="13" fillId="0" borderId="18" xfId="0" applyNumberFormat="1" applyFont="1" applyBorder="1" applyAlignment="1">
      <alignment/>
    </xf>
    <xf numFmtId="49" fontId="13" fillId="0" borderId="19" xfId="0" applyNumberFormat="1" applyFont="1" applyBorder="1" applyAlignment="1">
      <alignment/>
    </xf>
    <xf numFmtId="164" fontId="13" fillId="0" borderId="19" xfId="0" applyNumberFormat="1" applyFont="1" applyBorder="1" applyAlignment="1">
      <alignment/>
    </xf>
    <xf numFmtId="0" fontId="13" fillId="0" borderId="19" xfId="0" applyFont="1" applyBorder="1" applyAlignment="1">
      <alignment/>
    </xf>
    <xf numFmtId="49" fontId="13" fillId="0" borderId="20" xfId="0" applyNumberFormat="1" applyFont="1" applyBorder="1" applyAlignment="1">
      <alignment/>
    </xf>
    <xf numFmtId="49" fontId="17" fillId="0" borderId="21" xfId="0" applyNumberFormat="1" applyFont="1" applyBorder="1" applyAlignment="1">
      <alignment/>
    </xf>
    <xf numFmtId="49" fontId="17" fillId="0" borderId="22" xfId="0" applyNumberFormat="1" applyFont="1" applyBorder="1" applyAlignment="1">
      <alignment/>
    </xf>
    <xf numFmtId="164" fontId="17" fillId="0" borderId="22" xfId="0" applyNumberFormat="1" applyFont="1" applyBorder="1" applyAlignment="1">
      <alignment/>
    </xf>
    <xf numFmtId="49" fontId="17" fillId="0" borderId="23" xfId="0" applyNumberFormat="1" applyFont="1" applyBorder="1" applyAlignment="1">
      <alignment/>
    </xf>
    <xf numFmtId="49" fontId="17" fillId="0" borderId="24" xfId="0" applyNumberFormat="1" applyFont="1" applyBorder="1" applyAlignment="1">
      <alignment/>
    </xf>
    <xf numFmtId="164" fontId="17" fillId="0" borderId="24" xfId="0" applyNumberFormat="1" applyFont="1" applyBorder="1" applyAlignment="1">
      <alignment/>
    </xf>
    <xf numFmtId="49" fontId="17" fillId="0" borderId="0" xfId="0" applyNumberFormat="1" applyFont="1" applyBorder="1" applyAlignment="1">
      <alignment/>
    </xf>
    <xf numFmtId="49" fontId="13" fillId="0" borderId="14" xfId="0" applyNumberFormat="1" applyFont="1" applyBorder="1" applyAlignment="1">
      <alignment wrapText="1"/>
    </xf>
    <xf numFmtId="49" fontId="17" fillId="0" borderId="12" xfId="0" applyNumberFormat="1" applyFont="1" applyBorder="1" applyAlignment="1">
      <alignment wrapText="1"/>
    </xf>
    <xf numFmtId="164" fontId="13" fillId="0" borderId="14" xfId="0" applyNumberFormat="1" applyFont="1" applyBorder="1" applyAlignment="1">
      <alignment wrapText="1"/>
    </xf>
    <xf numFmtId="0" fontId="17" fillId="0" borderId="19" xfId="0" applyFont="1" applyBorder="1" applyAlignment="1">
      <alignment/>
    </xf>
    <xf numFmtId="49" fontId="17" fillId="0" borderId="20" xfId="0" applyNumberFormat="1" applyFont="1" applyBorder="1" applyAlignment="1">
      <alignment/>
    </xf>
    <xf numFmtId="49" fontId="17" fillId="0" borderId="15" xfId="0" applyNumberFormat="1" applyFont="1" applyBorder="1" applyAlignment="1">
      <alignment/>
    </xf>
    <xf numFmtId="164" fontId="17" fillId="0" borderId="15" xfId="0" applyNumberFormat="1" applyFont="1" applyBorder="1" applyAlignment="1">
      <alignment/>
    </xf>
    <xf numFmtId="0" fontId="13" fillId="0" borderId="25" xfId="0" applyFont="1" applyBorder="1" applyAlignment="1">
      <alignment/>
    </xf>
    <xf numFmtId="49" fontId="17" fillId="0" borderId="12" xfId="0" applyNumberFormat="1" applyFont="1" applyBorder="1" applyAlignment="1">
      <alignment/>
    </xf>
    <xf numFmtId="0" fontId="13" fillId="0" borderId="26" xfId="0" applyFont="1" applyBorder="1" applyAlignment="1">
      <alignment/>
    </xf>
    <xf numFmtId="49" fontId="17" fillId="0" borderId="27" xfId="0" applyNumberFormat="1" applyFont="1" applyBorder="1" applyAlignment="1">
      <alignment/>
    </xf>
    <xf numFmtId="0" fontId="13" fillId="0" borderId="28" xfId="0" applyFont="1" applyBorder="1" applyAlignment="1">
      <alignment/>
    </xf>
    <xf numFmtId="49" fontId="17" fillId="0" borderId="18" xfId="0" applyNumberFormat="1" applyFont="1" applyBorder="1" applyAlignment="1">
      <alignment horizontal="left"/>
    </xf>
    <xf numFmtId="49" fontId="17" fillId="0" borderId="20" xfId="0" applyNumberFormat="1" applyFont="1" applyBorder="1" applyAlignment="1">
      <alignment horizontal="left"/>
    </xf>
    <xf numFmtId="49" fontId="17" fillId="0" borderId="19" xfId="0" applyNumberFormat="1" applyFont="1" applyBorder="1" applyAlignment="1">
      <alignment horizontal="left"/>
    </xf>
    <xf numFmtId="49" fontId="13" fillId="0" borderId="15" xfId="0" applyNumberFormat="1" applyFont="1" applyBorder="1" applyAlignment="1">
      <alignment/>
    </xf>
    <xf numFmtId="0" fontId="13" fillId="0" borderId="20" xfId="0" applyFont="1" applyBorder="1" applyAlignment="1">
      <alignment/>
    </xf>
    <xf numFmtId="164" fontId="13" fillId="0" borderId="15" xfId="0" applyNumberFormat="1" applyFont="1" applyBorder="1" applyAlignment="1">
      <alignment/>
    </xf>
    <xf numFmtId="0" fontId="17" fillId="0" borderId="20" xfId="0" applyFont="1" applyBorder="1" applyAlignment="1">
      <alignment/>
    </xf>
    <xf numFmtId="49" fontId="17" fillId="0" borderId="29" xfId="0" applyNumberFormat="1" applyFont="1" applyBorder="1" applyAlignment="1">
      <alignment/>
    </xf>
    <xf numFmtId="49" fontId="13" fillId="0" borderId="22" xfId="0" applyNumberFormat="1" applyFont="1" applyBorder="1" applyAlignment="1">
      <alignment/>
    </xf>
    <xf numFmtId="49" fontId="13" fillId="0" borderId="21" xfId="0" applyNumberFormat="1" applyFont="1" applyBorder="1" applyAlignment="1">
      <alignment/>
    </xf>
    <xf numFmtId="164" fontId="17" fillId="24" borderId="19" xfId="0" applyNumberFormat="1" applyFont="1" applyFill="1" applyBorder="1" applyAlignment="1">
      <alignment/>
    </xf>
    <xf numFmtId="49" fontId="17" fillId="0" borderId="30" xfId="0" applyNumberFormat="1" applyFont="1" applyBorder="1" applyAlignment="1">
      <alignment/>
    </xf>
    <xf numFmtId="164" fontId="17" fillId="0" borderId="29" xfId="0" applyNumberFormat="1" applyFont="1" applyBorder="1" applyAlignment="1">
      <alignment/>
    </xf>
    <xf numFmtId="49" fontId="17" fillId="0" borderId="26" xfId="0" applyNumberFormat="1" applyFont="1" applyBorder="1" applyAlignment="1">
      <alignment horizontal="left"/>
    </xf>
    <xf numFmtId="0" fontId="13" fillId="0" borderId="14" xfId="0" applyFont="1" applyBorder="1" applyAlignment="1">
      <alignment/>
    </xf>
    <xf numFmtId="0" fontId="13" fillId="0" borderId="26" xfId="0" applyFont="1" applyBorder="1" applyAlignment="1">
      <alignment wrapText="1"/>
    </xf>
    <xf numFmtId="49" fontId="13" fillId="0" borderId="0" xfId="0" applyNumberFormat="1" applyFont="1" applyBorder="1" applyAlignment="1">
      <alignment/>
    </xf>
    <xf numFmtId="49" fontId="13" fillId="0" borderId="29" xfId="0" applyNumberFormat="1" applyFont="1" applyBorder="1" applyAlignment="1">
      <alignment/>
    </xf>
    <xf numFmtId="0" fontId="17" fillId="0" borderId="18" xfId="0" applyFont="1" applyBorder="1" applyAlignment="1">
      <alignment/>
    </xf>
    <xf numFmtId="49" fontId="17" fillId="0" borderId="31" xfId="0" applyNumberFormat="1" applyFont="1" applyBorder="1" applyAlignment="1">
      <alignment/>
    </xf>
    <xf numFmtId="49" fontId="17" fillId="0" borderId="32" xfId="0" applyNumberFormat="1" applyFont="1" applyBorder="1" applyAlignment="1">
      <alignment/>
    </xf>
    <xf numFmtId="49" fontId="9" fillId="0" borderId="0" xfId="0" applyNumberFormat="1" applyFont="1" applyAlignment="1">
      <alignment/>
    </xf>
    <xf numFmtId="0" fontId="14" fillId="0" borderId="0" xfId="0" applyFont="1" applyAlignment="1">
      <alignment/>
    </xf>
    <xf numFmtId="49" fontId="14" fillId="0" borderId="13" xfId="0" applyNumberFormat="1" applyFont="1" applyBorder="1" applyAlignment="1">
      <alignment/>
    </xf>
    <xf numFmtId="49" fontId="13" fillId="0" borderId="25" xfId="0" applyNumberFormat="1" applyFont="1" applyBorder="1" applyAlignment="1">
      <alignment/>
    </xf>
    <xf numFmtId="49" fontId="13" fillId="0" borderId="33" xfId="0" applyNumberFormat="1" applyFont="1" applyBorder="1" applyAlignment="1">
      <alignment horizontal="left"/>
    </xf>
    <xf numFmtId="49" fontId="13" fillId="0" borderId="11" xfId="0" applyNumberFormat="1" applyFont="1" applyBorder="1" applyAlignment="1">
      <alignment/>
    </xf>
    <xf numFmtId="164" fontId="13" fillId="0" borderId="29" xfId="0" applyNumberFormat="1" applyFont="1" applyBorder="1" applyAlignment="1">
      <alignment/>
    </xf>
    <xf numFmtId="49" fontId="17" fillId="0" borderId="26" xfId="0" applyNumberFormat="1" applyFont="1" applyBorder="1" applyAlignment="1">
      <alignment/>
    </xf>
    <xf numFmtId="49" fontId="13" fillId="0" borderId="26" xfId="0" applyNumberFormat="1" applyFont="1" applyBorder="1" applyAlignment="1">
      <alignment/>
    </xf>
    <xf numFmtId="49" fontId="13" fillId="0" borderId="26" xfId="0" applyNumberFormat="1" applyFont="1" applyBorder="1" applyAlignment="1">
      <alignment horizontal="left"/>
    </xf>
    <xf numFmtId="49" fontId="17" fillId="0" borderId="30" xfId="0" applyNumberFormat="1" applyFont="1" applyBorder="1" applyAlignment="1">
      <alignment horizontal="left"/>
    </xf>
    <xf numFmtId="49" fontId="17" fillId="0" borderId="32" xfId="0" applyNumberFormat="1" applyFont="1" applyBorder="1" applyAlignment="1">
      <alignment horizontal="left"/>
    </xf>
    <xf numFmtId="49" fontId="17" fillId="0" borderId="34" xfId="0" applyNumberFormat="1" applyFont="1" applyBorder="1" applyAlignment="1">
      <alignment/>
    </xf>
    <xf numFmtId="49" fontId="17" fillId="0" borderId="35" xfId="0" applyNumberFormat="1" applyFont="1" applyBorder="1" applyAlignment="1">
      <alignment/>
    </xf>
    <xf numFmtId="49" fontId="17" fillId="0" borderId="11" xfId="0" applyNumberFormat="1" applyFont="1" applyBorder="1" applyAlignment="1">
      <alignment/>
    </xf>
    <xf numFmtId="49" fontId="17" fillId="0" borderId="11" xfId="0" applyNumberFormat="1" applyFont="1" applyBorder="1" applyAlignment="1">
      <alignment horizontal="left"/>
    </xf>
    <xf numFmtId="49" fontId="13" fillId="0" borderId="11" xfId="0" applyNumberFormat="1" applyFont="1" applyBorder="1" applyAlignment="1">
      <alignment horizontal="left"/>
    </xf>
    <xf numFmtId="49" fontId="13" fillId="0" borderId="34" xfId="0" applyNumberFormat="1" applyFont="1" applyBorder="1" applyAlignment="1">
      <alignment horizontal="left"/>
    </xf>
    <xf numFmtId="49" fontId="13" fillId="0" borderId="36" xfId="0" applyNumberFormat="1" applyFont="1" applyBorder="1" applyAlignment="1">
      <alignment/>
    </xf>
    <xf numFmtId="49" fontId="13" fillId="0" borderId="34" xfId="0" applyNumberFormat="1" applyFont="1" applyBorder="1" applyAlignment="1">
      <alignment/>
    </xf>
    <xf numFmtId="49" fontId="17" fillId="0" borderId="37" xfId="0" applyNumberFormat="1" applyFont="1" applyBorder="1" applyAlignment="1">
      <alignment/>
    </xf>
    <xf numFmtId="49" fontId="13" fillId="0" borderId="14" xfId="0" applyNumberFormat="1" applyFont="1" applyBorder="1" applyAlignment="1">
      <alignment horizontal="left"/>
    </xf>
    <xf numFmtId="49" fontId="13" fillId="0" borderId="19" xfId="0" applyNumberFormat="1" applyFont="1" applyBorder="1" applyAlignment="1">
      <alignment horizontal="left"/>
    </xf>
    <xf numFmtId="49" fontId="17" fillId="0" borderId="22" xfId="0" applyNumberFormat="1" applyFont="1" applyBorder="1" applyAlignment="1">
      <alignment horizontal="left"/>
    </xf>
    <xf numFmtId="49" fontId="13" fillId="0" borderId="36" xfId="0" applyNumberFormat="1" applyFont="1" applyBorder="1" applyAlignment="1">
      <alignment horizontal="left"/>
    </xf>
    <xf numFmtId="49" fontId="17" fillId="0" borderId="34" xfId="0" applyNumberFormat="1" applyFont="1" applyBorder="1" applyAlignment="1">
      <alignment horizontal="left"/>
    </xf>
    <xf numFmtId="0" fontId="13" fillId="0" borderId="34" xfId="0" applyFont="1" applyBorder="1" applyAlignment="1">
      <alignment/>
    </xf>
    <xf numFmtId="0" fontId="13" fillId="0" borderId="25" xfId="0" applyFont="1" applyBorder="1" applyAlignment="1">
      <alignment wrapText="1"/>
    </xf>
    <xf numFmtId="49" fontId="17" fillId="0" borderId="29" xfId="0" applyNumberFormat="1" applyFont="1" applyBorder="1" applyAlignment="1">
      <alignment horizontal="left"/>
    </xf>
    <xf numFmtId="49" fontId="13" fillId="0" borderId="17" xfId="0" applyNumberFormat="1" applyFont="1" applyBorder="1" applyAlignment="1">
      <alignment horizontal="left"/>
    </xf>
    <xf numFmtId="49" fontId="13" fillId="0" borderId="38" xfId="0" applyNumberFormat="1" applyFont="1" applyBorder="1" applyAlignment="1">
      <alignment/>
    </xf>
    <xf numFmtId="164" fontId="0" fillId="0" borderId="0" xfId="0" applyNumberFormat="1" applyAlignment="1">
      <alignment/>
    </xf>
    <xf numFmtId="0" fontId="17" fillId="0" borderId="26" xfId="0" applyFont="1" applyBorder="1" applyAlignment="1">
      <alignment/>
    </xf>
    <xf numFmtId="0" fontId="17" fillId="0" borderId="34" xfId="0" applyFont="1" applyBorder="1" applyAlignment="1">
      <alignment/>
    </xf>
    <xf numFmtId="0" fontId="17" fillId="0" borderId="26" xfId="0" applyFont="1" applyBorder="1" applyAlignment="1">
      <alignment wrapText="1"/>
    </xf>
    <xf numFmtId="0" fontId="17" fillId="0" borderId="11" xfId="0" applyFont="1" applyBorder="1" applyAlignment="1">
      <alignment wrapText="1"/>
    </xf>
    <xf numFmtId="0" fontId="17" fillId="0" borderId="11" xfId="0" applyFont="1" applyBorder="1" applyAlignment="1">
      <alignment/>
    </xf>
    <xf numFmtId="0" fontId="17" fillId="0" borderId="34" xfId="0" applyFont="1" applyBorder="1" applyAlignment="1">
      <alignment wrapText="1"/>
    </xf>
    <xf numFmtId="0" fontId="17" fillId="0" borderId="30" xfId="0" applyFont="1" applyBorder="1" applyAlignment="1">
      <alignment/>
    </xf>
    <xf numFmtId="0" fontId="17" fillId="0" borderId="19" xfId="0" applyFont="1" applyBorder="1" applyAlignment="1">
      <alignment wrapText="1"/>
    </xf>
    <xf numFmtId="0" fontId="17" fillId="0" borderId="15" xfId="0" applyFont="1" applyBorder="1" applyAlignment="1">
      <alignment wrapText="1"/>
    </xf>
    <xf numFmtId="0" fontId="17" fillId="0" borderId="15" xfId="0" applyFont="1" applyBorder="1" applyAlignment="1">
      <alignment/>
    </xf>
    <xf numFmtId="0" fontId="17" fillId="0" borderId="22" xfId="0" applyFont="1" applyBorder="1" applyAlignment="1">
      <alignment/>
    </xf>
    <xf numFmtId="164" fontId="13" fillId="0" borderId="25" xfId="0" applyNumberFormat="1" applyFont="1" applyBorder="1" applyAlignment="1">
      <alignment/>
    </xf>
    <xf numFmtId="164" fontId="17" fillId="0" borderId="11" xfId="0" applyNumberFormat="1" applyFont="1" applyBorder="1" applyAlignment="1">
      <alignment/>
    </xf>
    <xf numFmtId="164" fontId="17" fillId="0" borderId="26" xfId="0" applyNumberFormat="1" applyFont="1" applyBorder="1" applyAlignment="1">
      <alignment/>
    </xf>
    <xf numFmtId="0" fontId="18" fillId="0" borderId="0" xfId="0" applyFont="1" applyAlignment="1">
      <alignment/>
    </xf>
    <xf numFmtId="49" fontId="13" fillId="0" borderId="39" xfId="0" applyNumberFormat="1" applyFont="1" applyBorder="1" applyAlignment="1">
      <alignment horizontal="left"/>
    </xf>
    <xf numFmtId="49" fontId="13" fillId="0" borderId="21" xfId="0" applyNumberFormat="1" applyFont="1" applyBorder="1" applyAlignment="1">
      <alignment horizontal="left"/>
    </xf>
    <xf numFmtId="49" fontId="13" fillId="0" borderId="40" xfId="0" applyNumberFormat="1" applyFont="1" applyBorder="1" applyAlignment="1">
      <alignment horizontal="left"/>
    </xf>
    <xf numFmtId="0" fontId="17" fillId="0" borderId="29" xfId="0" applyFont="1" applyBorder="1" applyAlignment="1">
      <alignment/>
    </xf>
    <xf numFmtId="0" fontId="17" fillId="24" borderId="19" xfId="0" applyFont="1" applyFill="1" applyBorder="1" applyAlignment="1">
      <alignment wrapText="1"/>
    </xf>
    <xf numFmtId="49" fontId="14" fillId="0" borderId="10" xfId="0" applyNumberFormat="1" applyFont="1" applyBorder="1" applyAlignment="1">
      <alignment/>
    </xf>
    <xf numFmtId="49" fontId="13" fillId="0" borderId="12" xfId="0" applyNumberFormat="1" applyFont="1" applyBorder="1" applyAlignment="1">
      <alignment horizontal="left"/>
    </xf>
    <xf numFmtId="49" fontId="13" fillId="0" borderId="18" xfId="0" applyNumberFormat="1" applyFont="1" applyBorder="1" applyAlignment="1">
      <alignment horizontal="left"/>
    </xf>
    <xf numFmtId="49" fontId="17" fillId="0" borderId="41" xfId="0" applyNumberFormat="1" applyFont="1" applyBorder="1" applyAlignment="1">
      <alignment/>
    </xf>
    <xf numFmtId="49" fontId="17" fillId="0" borderId="15" xfId="0" applyNumberFormat="1" applyFont="1" applyBorder="1" applyAlignment="1">
      <alignment horizontal="left"/>
    </xf>
    <xf numFmtId="0" fontId="17" fillId="24" borderId="22" xfId="0" applyFont="1" applyFill="1" applyBorder="1" applyAlignment="1">
      <alignment/>
    </xf>
    <xf numFmtId="49" fontId="17" fillId="24" borderId="34" xfId="0" applyNumberFormat="1" applyFont="1" applyFill="1" applyBorder="1" applyAlignment="1">
      <alignment/>
    </xf>
    <xf numFmtId="49" fontId="17" fillId="24" borderId="22" xfId="0" applyNumberFormat="1" applyFont="1" applyFill="1" applyBorder="1" applyAlignment="1">
      <alignment/>
    </xf>
    <xf numFmtId="49" fontId="17" fillId="24" borderId="21" xfId="0" applyNumberFormat="1" applyFont="1" applyFill="1" applyBorder="1" applyAlignment="1">
      <alignment/>
    </xf>
    <xf numFmtId="49" fontId="17" fillId="24" borderId="19" xfId="0" applyNumberFormat="1" applyFont="1" applyFill="1" applyBorder="1" applyAlignment="1">
      <alignment/>
    </xf>
    <xf numFmtId="49" fontId="17" fillId="24" borderId="18" xfId="0" applyNumberFormat="1" applyFont="1" applyFill="1" applyBorder="1" applyAlignment="1">
      <alignment/>
    </xf>
    <xf numFmtId="0" fontId="17" fillId="24" borderId="19" xfId="0" applyFont="1" applyFill="1" applyBorder="1" applyAlignment="1">
      <alignment/>
    </xf>
    <xf numFmtId="49" fontId="17" fillId="24" borderId="26" xfId="0" applyNumberFormat="1" applyFont="1" applyFill="1" applyBorder="1" applyAlignment="1">
      <alignment/>
    </xf>
    <xf numFmtId="49" fontId="17" fillId="24" borderId="26" xfId="0" applyNumberFormat="1" applyFont="1" applyFill="1" applyBorder="1" applyAlignment="1">
      <alignment horizontal="left"/>
    </xf>
    <xf numFmtId="49" fontId="17" fillId="24" borderId="0" xfId="0" applyNumberFormat="1" applyFont="1" applyFill="1" applyBorder="1" applyAlignment="1">
      <alignment/>
    </xf>
    <xf numFmtId="164" fontId="17" fillId="24" borderId="22" xfId="0" applyNumberFormat="1" applyFont="1" applyFill="1" applyBorder="1" applyAlignment="1">
      <alignment/>
    </xf>
    <xf numFmtId="49" fontId="17" fillId="24" borderId="19" xfId="0" applyNumberFormat="1" applyFont="1" applyFill="1" applyBorder="1" applyAlignment="1">
      <alignment horizontal="left"/>
    </xf>
    <xf numFmtId="0" fontId="17" fillId="24" borderId="30" xfId="0" applyFont="1" applyFill="1" applyBorder="1" applyAlignment="1">
      <alignment/>
    </xf>
    <xf numFmtId="49" fontId="17" fillId="24" borderId="29" xfId="0" applyNumberFormat="1" applyFont="1" applyFill="1" applyBorder="1" applyAlignment="1">
      <alignment/>
    </xf>
    <xf numFmtId="164" fontId="17" fillId="24" borderId="29" xfId="0" applyNumberFormat="1" applyFont="1" applyFill="1" applyBorder="1" applyAlignment="1">
      <alignment/>
    </xf>
    <xf numFmtId="49" fontId="9" fillId="0" borderId="18" xfId="0" applyNumberFormat="1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49" fontId="17" fillId="0" borderId="42" xfId="0" applyNumberFormat="1" applyFont="1" applyBorder="1" applyAlignment="1">
      <alignment horizontal="left"/>
    </xf>
    <xf numFmtId="49" fontId="17" fillId="0" borderId="41" xfId="0" applyNumberFormat="1" applyFont="1" applyBorder="1" applyAlignment="1">
      <alignment horizontal="left"/>
    </xf>
    <xf numFmtId="49" fontId="17" fillId="0" borderId="43" xfId="0" applyNumberFormat="1" applyFont="1" applyBorder="1" applyAlignment="1">
      <alignment horizontal="left"/>
    </xf>
    <xf numFmtId="49" fontId="17" fillId="0" borderId="44" xfId="0" applyNumberFormat="1" applyFont="1" applyBorder="1" applyAlignment="1">
      <alignment/>
    </xf>
    <xf numFmtId="49" fontId="13" fillId="0" borderId="41" xfId="0" applyNumberFormat="1" applyFont="1" applyBorder="1" applyAlignment="1">
      <alignment/>
    </xf>
    <xf numFmtId="49" fontId="13" fillId="0" borderId="44" xfId="0" applyNumberFormat="1" applyFont="1" applyBorder="1" applyAlignment="1">
      <alignment/>
    </xf>
    <xf numFmtId="49" fontId="17" fillId="0" borderId="42" xfId="0" applyNumberFormat="1" applyFont="1" applyBorder="1" applyAlignment="1">
      <alignment/>
    </xf>
    <xf numFmtId="49" fontId="17" fillId="0" borderId="21" xfId="0" applyNumberFormat="1" applyFont="1" applyBorder="1" applyAlignment="1">
      <alignment horizontal="left"/>
    </xf>
    <xf numFmtId="49" fontId="17" fillId="0" borderId="0" xfId="0" applyNumberFormat="1" applyFont="1" applyBorder="1" applyAlignment="1">
      <alignment horizontal="left"/>
    </xf>
    <xf numFmtId="0" fontId="17" fillId="24" borderId="26" xfId="0" applyFont="1" applyFill="1" applyBorder="1" applyAlignment="1">
      <alignment horizontal="left" wrapText="1"/>
    </xf>
    <xf numFmtId="174" fontId="13" fillId="0" borderId="14" xfId="60" applyNumberFormat="1" applyFont="1" applyBorder="1" applyAlignment="1">
      <alignment/>
    </xf>
    <xf numFmtId="0" fontId="19" fillId="24" borderId="45" xfId="0" applyFont="1" applyFill="1" applyBorder="1" applyAlignment="1">
      <alignment wrapText="1"/>
    </xf>
    <xf numFmtId="49" fontId="17" fillId="0" borderId="38" xfId="0" applyNumberFormat="1" applyFont="1" applyBorder="1" applyAlignment="1">
      <alignment/>
    </xf>
    <xf numFmtId="164" fontId="0" fillId="0" borderId="29" xfId="0" applyNumberFormat="1" applyFont="1" applyBorder="1" applyAlignment="1">
      <alignment/>
    </xf>
    <xf numFmtId="164" fontId="13" fillId="0" borderId="26" xfId="0" applyNumberFormat="1" applyFont="1" applyBorder="1" applyAlignment="1">
      <alignment/>
    </xf>
    <xf numFmtId="164" fontId="17" fillId="0" borderId="34" xfId="0" applyNumberFormat="1" applyFont="1" applyBorder="1" applyAlignment="1">
      <alignment/>
    </xf>
    <xf numFmtId="0" fontId="17" fillId="24" borderId="19" xfId="0" applyFont="1" applyFill="1" applyBorder="1" applyAlignment="1">
      <alignment horizontal="left" wrapText="1"/>
    </xf>
    <xf numFmtId="0" fontId="17" fillId="24" borderId="26" xfId="0" applyFont="1" applyFill="1" applyBorder="1" applyAlignment="1">
      <alignment wrapText="1"/>
    </xf>
    <xf numFmtId="164" fontId="13" fillId="0" borderId="18" xfId="0" applyNumberFormat="1" applyFont="1" applyBorder="1" applyAlignment="1">
      <alignment/>
    </xf>
    <xf numFmtId="164" fontId="17" fillId="0" borderId="20" xfId="0" applyNumberFormat="1" applyFont="1" applyBorder="1" applyAlignment="1">
      <alignment/>
    </xf>
    <xf numFmtId="164" fontId="17" fillId="0" borderId="18" xfId="0" applyNumberFormat="1" applyFont="1" applyBorder="1" applyAlignment="1">
      <alignment/>
    </xf>
    <xf numFmtId="164" fontId="17" fillId="24" borderId="18" xfId="0" applyNumberFormat="1" applyFont="1" applyFill="1" applyBorder="1" applyAlignment="1">
      <alignment/>
    </xf>
    <xf numFmtId="164" fontId="13" fillId="0" borderId="20" xfId="0" applyNumberFormat="1" applyFont="1" applyBorder="1" applyAlignment="1">
      <alignment/>
    </xf>
    <xf numFmtId="164" fontId="17" fillId="0" borderId="21" xfId="0" applyNumberFormat="1" applyFont="1" applyBorder="1" applyAlignment="1">
      <alignment/>
    </xf>
    <xf numFmtId="164" fontId="17" fillId="0" borderId="0" xfId="0" applyNumberFormat="1" applyFont="1" applyBorder="1" applyAlignment="1">
      <alignment/>
    </xf>
    <xf numFmtId="175" fontId="12" fillId="0" borderId="0" xfId="0" applyNumberFormat="1" applyFont="1" applyAlignment="1">
      <alignment/>
    </xf>
    <xf numFmtId="164" fontId="12" fillId="0" borderId="0" xfId="0" applyNumberFormat="1" applyFont="1" applyAlignment="1">
      <alignment/>
    </xf>
    <xf numFmtId="49" fontId="13" fillId="0" borderId="29" xfId="0" applyNumberFormat="1" applyFont="1" applyBorder="1" applyAlignment="1">
      <alignment horizontal="left"/>
    </xf>
    <xf numFmtId="0" fontId="19" fillId="24" borderId="46" xfId="0" applyFont="1" applyFill="1" applyBorder="1" applyAlignment="1">
      <alignment wrapText="1"/>
    </xf>
    <xf numFmtId="0" fontId="19" fillId="24" borderId="11" xfId="0" applyFont="1" applyFill="1" applyBorder="1" applyAlignment="1">
      <alignment wrapText="1"/>
    </xf>
    <xf numFmtId="49" fontId="13" fillId="0" borderId="15" xfId="0" applyNumberFormat="1" applyFont="1" applyBorder="1" applyAlignment="1">
      <alignment horizontal="left"/>
    </xf>
    <xf numFmtId="49" fontId="17" fillId="24" borderId="30" xfId="0" applyNumberFormat="1" applyFont="1" applyFill="1" applyBorder="1" applyAlignment="1">
      <alignment/>
    </xf>
    <xf numFmtId="164" fontId="17" fillId="24" borderId="30" xfId="0" applyNumberFormat="1" applyFont="1" applyFill="1" applyBorder="1" applyAlignment="1">
      <alignment/>
    </xf>
    <xf numFmtId="0" fontId="19" fillId="24" borderId="26" xfId="0" applyFont="1" applyFill="1" applyBorder="1" applyAlignment="1">
      <alignment wrapText="1"/>
    </xf>
    <xf numFmtId="0" fontId="17" fillId="24" borderId="26" xfId="0" applyFont="1" applyFill="1" applyBorder="1" applyAlignment="1">
      <alignment/>
    </xf>
    <xf numFmtId="0" fontId="17" fillId="24" borderId="11" xfId="0" applyFont="1" applyFill="1" applyBorder="1" applyAlignment="1">
      <alignment/>
    </xf>
    <xf numFmtId="49" fontId="17" fillId="0" borderId="47" xfId="0" applyNumberFormat="1" applyFont="1" applyBorder="1" applyAlignment="1">
      <alignment/>
    </xf>
    <xf numFmtId="49" fontId="17" fillId="24" borderId="31" xfId="0" applyNumberFormat="1" applyFont="1" applyFill="1" applyBorder="1" applyAlignment="1">
      <alignment/>
    </xf>
    <xf numFmtId="164" fontId="13" fillId="0" borderId="36" xfId="0" applyNumberFormat="1" applyFont="1" applyBorder="1" applyAlignment="1">
      <alignment/>
    </xf>
    <xf numFmtId="164" fontId="17" fillId="24" borderId="26" xfId="0" applyNumberFormat="1" applyFont="1" applyFill="1" applyBorder="1" applyAlignment="1">
      <alignment/>
    </xf>
    <xf numFmtId="164" fontId="17" fillId="24" borderId="32" xfId="0" applyNumberFormat="1" applyFont="1" applyFill="1" applyBorder="1" applyAlignment="1">
      <alignment/>
    </xf>
    <xf numFmtId="164" fontId="17" fillId="0" borderId="48" xfId="0" applyNumberFormat="1" applyFont="1" applyBorder="1" applyAlignment="1">
      <alignment/>
    </xf>
    <xf numFmtId="164" fontId="17" fillId="0" borderId="41" xfId="0" applyNumberFormat="1" applyFont="1" applyBorder="1" applyAlignment="1">
      <alignment/>
    </xf>
    <xf numFmtId="49" fontId="17" fillId="0" borderId="49" xfId="0" applyNumberFormat="1" applyFont="1" applyBorder="1" applyAlignment="1">
      <alignment/>
    </xf>
    <xf numFmtId="49" fontId="13" fillId="0" borderId="48" xfId="0" applyNumberFormat="1" applyFont="1" applyBorder="1" applyAlignment="1">
      <alignment/>
    </xf>
    <xf numFmtId="164" fontId="17" fillId="0" borderId="42" xfId="0" applyNumberFormat="1" applyFont="1" applyBorder="1" applyAlignment="1">
      <alignment/>
    </xf>
    <xf numFmtId="164" fontId="17" fillId="0" borderId="44" xfId="0" applyNumberFormat="1" applyFont="1" applyBorder="1" applyAlignment="1">
      <alignment/>
    </xf>
    <xf numFmtId="164" fontId="13" fillId="0" borderId="41" xfId="0" applyNumberFormat="1" applyFont="1" applyBorder="1" applyAlignment="1">
      <alignment/>
    </xf>
    <xf numFmtId="164" fontId="17" fillId="0" borderId="43" xfId="0" applyNumberFormat="1" applyFont="1" applyBorder="1" applyAlignment="1">
      <alignment/>
    </xf>
    <xf numFmtId="164" fontId="17" fillId="0" borderId="49" xfId="0" applyNumberFormat="1" applyFont="1" applyBorder="1" applyAlignment="1">
      <alignment/>
    </xf>
    <xf numFmtId="0" fontId="17" fillId="24" borderId="34" xfId="0" applyFont="1" applyFill="1" applyBorder="1" applyAlignment="1">
      <alignment wrapText="1"/>
    </xf>
    <xf numFmtId="49" fontId="13" fillId="0" borderId="49" xfId="0" applyNumberFormat="1" applyFont="1" applyBorder="1" applyAlignment="1">
      <alignment/>
    </xf>
    <xf numFmtId="164" fontId="13" fillId="0" borderId="49" xfId="0" applyNumberFormat="1" applyFont="1" applyBorder="1" applyAlignment="1">
      <alignment/>
    </xf>
    <xf numFmtId="49" fontId="17" fillId="0" borderId="50" xfId="0" applyNumberFormat="1" applyFont="1" applyBorder="1" applyAlignment="1">
      <alignment/>
    </xf>
    <xf numFmtId="49" fontId="17" fillId="0" borderId="10" xfId="0" applyNumberFormat="1" applyFont="1" applyBorder="1" applyAlignment="1">
      <alignment/>
    </xf>
    <xf numFmtId="49" fontId="17" fillId="0" borderId="49" xfId="0" applyNumberFormat="1" applyFont="1" applyBorder="1" applyAlignment="1">
      <alignment horizontal="left"/>
    </xf>
    <xf numFmtId="0" fontId="17" fillId="0" borderId="49" xfId="0" applyFont="1" applyBorder="1" applyAlignment="1">
      <alignment/>
    </xf>
    <xf numFmtId="0" fontId="17" fillId="0" borderId="11" xfId="0" applyFont="1" applyBorder="1" applyAlignment="1">
      <alignment vertical="center" wrapText="1"/>
    </xf>
    <xf numFmtId="164" fontId="13" fillId="0" borderId="21" xfId="0" applyNumberFormat="1" applyFont="1" applyBorder="1" applyAlignment="1">
      <alignment/>
    </xf>
    <xf numFmtId="164" fontId="13" fillId="0" borderId="22" xfId="0" applyNumberFormat="1" applyFont="1" applyBorder="1" applyAlignment="1">
      <alignment/>
    </xf>
    <xf numFmtId="0" fontId="17" fillId="24" borderId="19" xfId="0" applyFont="1" applyFill="1" applyBorder="1" applyAlignment="1">
      <alignment vertical="center" wrapText="1"/>
    </xf>
    <xf numFmtId="0" fontId="13" fillId="0" borderId="50" xfId="0" applyFont="1" applyBorder="1" applyAlignment="1">
      <alignment/>
    </xf>
    <xf numFmtId="0" fontId="17" fillId="0" borderId="37" xfId="0" applyFont="1" applyBorder="1" applyAlignment="1">
      <alignment/>
    </xf>
    <xf numFmtId="49" fontId="13" fillId="0" borderId="51" xfId="0" applyNumberFormat="1" applyFont="1" applyBorder="1" applyAlignment="1">
      <alignment/>
    </xf>
    <xf numFmtId="49" fontId="13" fillId="0" borderId="52" xfId="0" applyNumberFormat="1" applyFont="1" applyBorder="1" applyAlignment="1">
      <alignment/>
    </xf>
    <xf numFmtId="49" fontId="17" fillId="0" borderId="48" xfId="0" applyNumberFormat="1" applyFont="1" applyBorder="1" applyAlignment="1">
      <alignment/>
    </xf>
    <xf numFmtId="49" fontId="17" fillId="0" borderId="43" xfId="0" applyNumberFormat="1" applyFont="1" applyBorder="1" applyAlignment="1">
      <alignment/>
    </xf>
    <xf numFmtId="49" fontId="17" fillId="24" borderId="41" xfId="0" applyNumberFormat="1" applyFont="1" applyFill="1" applyBorder="1" applyAlignment="1">
      <alignment/>
    </xf>
    <xf numFmtId="49" fontId="17" fillId="24" borderId="43" xfId="0" applyNumberFormat="1" applyFont="1" applyFill="1" applyBorder="1" applyAlignment="1">
      <alignment/>
    </xf>
    <xf numFmtId="0" fontId="17" fillId="0" borderId="45" xfId="0" applyNumberFormat="1" applyFont="1" applyFill="1" applyBorder="1" applyAlignment="1">
      <alignment horizontal="left" vertical="top" wrapText="1"/>
    </xf>
    <xf numFmtId="164" fontId="17" fillId="0" borderId="47" xfId="0" applyNumberFormat="1" applyFont="1" applyBorder="1" applyAlignment="1">
      <alignment/>
    </xf>
    <xf numFmtId="0" fontId="17" fillId="24" borderId="45" xfId="0" applyFont="1" applyFill="1" applyBorder="1" applyAlignment="1">
      <alignment wrapText="1"/>
    </xf>
    <xf numFmtId="0" fontId="17" fillId="0" borderId="26" xfId="0" applyFont="1" applyBorder="1" applyAlignment="1">
      <alignment wrapText="1" shrinkToFit="1"/>
    </xf>
    <xf numFmtId="0" fontId="16" fillId="0" borderId="25" xfId="0" applyFont="1" applyBorder="1" applyAlignment="1">
      <alignment horizontal="center"/>
    </xf>
    <xf numFmtId="0" fontId="17" fillId="0" borderId="26" xfId="0" applyNumberFormat="1" applyFont="1" applyFill="1" applyBorder="1" applyAlignment="1">
      <alignment horizontal="left" vertical="center" wrapText="1"/>
    </xf>
    <xf numFmtId="0" fontId="13" fillId="0" borderId="11" xfId="0" applyFont="1" applyBorder="1" applyAlignment="1">
      <alignment wrapText="1"/>
    </xf>
    <xf numFmtId="0" fontId="17" fillId="0" borderId="26" xfId="0" applyFont="1" applyBorder="1" applyAlignment="1">
      <alignment horizontal="left" vertical="center" wrapText="1"/>
    </xf>
    <xf numFmtId="0" fontId="17" fillId="0" borderId="26" xfId="0" applyFont="1" applyBorder="1" applyAlignment="1">
      <alignment horizontal="left" wrapText="1"/>
    </xf>
    <xf numFmtId="164" fontId="17" fillId="0" borderId="50" xfId="0" applyNumberFormat="1" applyFont="1" applyBorder="1" applyAlignment="1">
      <alignment/>
    </xf>
    <xf numFmtId="164" fontId="13" fillId="0" borderId="30" xfId="0" applyNumberFormat="1" applyFont="1" applyBorder="1" applyAlignment="1">
      <alignment/>
    </xf>
    <xf numFmtId="0" fontId="16" fillId="0" borderId="25" xfId="0" applyFont="1" applyBorder="1" applyAlignment="1">
      <alignment horizontal="center" wrapText="1"/>
    </xf>
    <xf numFmtId="0" fontId="16" fillId="24" borderId="25" xfId="0" applyFont="1" applyFill="1" applyBorder="1" applyAlignment="1">
      <alignment horizontal="center" wrapText="1"/>
    </xf>
    <xf numFmtId="0" fontId="13" fillId="0" borderId="36" xfId="0" applyFont="1" applyBorder="1" applyAlignment="1">
      <alignment/>
    </xf>
    <xf numFmtId="0" fontId="19" fillId="24" borderId="30" xfId="0" applyFont="1" applyFill="1" applyBorder="1" applyAlignment="1">
      <alignment wrapText="1"/>
    </xf>
    <xf numFmtId="49" fontId="8" fillId="24" borderId="0" xfId="0" applyNumberFormat="1" applyFont="1" applyFill="1" applyAlignment="1">
      <alignment/>
    </xf>
    <xf numFmtId="0" fontId="17" fillId="24" borderId="11" xfId="0" applyFont="1" applyFill="1" applyBorder="1" applyAlignment="1">
      <alignment wrapText="1"/>
    </xf>
    <xf numFmtId="164" fontId="17" fillId="24" borderId="15" xfId="0" applyNumberFormat="1" applyFont="1" applyFill="1" applyBorder="1" applyAlignment="1">
      <alignment/>
    </xf>
    <xf numFmtId="0" fontId="13" fillId="24" borderId="34" xfId="0" applyFont="1" applyFill="1" applyBorder="1" applyAlignment="1">
      <alignment wrapText="1"/>
    </xf>
    <xf numFmtId="49" fontId="17" fillId="24" borderId="11" xfId="0" applyNumberFormat="1" applyFont="1" applyFill="1" applyBorder="1" applyAlignment="1">
      <alignment/>
    </xf>
    <xf numFmtId="0" fontId="13" fillId="0" borderId="36" xfId="0" applyFont="1" applyBorder="1" applyAlignment="1">
      <alignment wrapText="1"/>
    </xf>
    <xf numFmtId="49" fontId="13" fillId="0" borderId="53" xfId="0" applyNumberFormat="1" applyFont="1" applyBorder="1" applyAlignment="1">
      <alignment horizontal="left"/>
    </xf>
    <xf numFmtId="49" fontId="17" fillId="24" borderId="20" xfId="0" applyNumberFormat="1" applyFont="1" applyFill="1" applyBorder="1" applyAlignment="1">
      <alignment/>
    </xf>
    <xf numFmtId="49" fontId="13" fillId="24" borderId="11" xfId="0" applyNumberFormat="1" applyFont="1" applyFill="1" applyBorder="1" applyAlignment="1">
      <alignment/>
    </xf>
    <xf numFmtId="49" fontId="13" fillId="24" borderId="15" xfId="0" applyNumberFormat="1" applyFont="1" applyFill="1" applyBorder="1" applyAlignment="1">
      <alignment/>
    </xf>
    <xf numFmtId="49" fontId="13" fillId="24" borderId="20" xfId="0" applyNumberFormat="1" applyFont="1" applyFill="1" applyBorder="1" applyAlignment="1">
      <alignment/>
    </xf>
    <xf numFmtId="49" fontId="13" fillId="24" borderId="15" xfId="0" applyNumberFormat="1" applyFont="1" applyFill="1" applyBorder="1" applyAlignment="1">
      <alignment horizontal="left"/>
    </xf>
    <xf numFmtId="0" fontId="13" fillId="0" borderId="15" xfId="0" applyFont="1" applyBorder="1" applyAlignment="1">
      <alignment/>
    </xf>
    <xf numFmtId="49" fontId="17" fillId="24" borderId="29" xfId="0" applyNumberFormat="1" applyFont="1" applyFill="1" applyBorder="1" applyAlignment="1">
      <alignment horizontal="left"/>
    </xf>
    <xf numFmtId="0" fontId="10" fillId="0" borderId="0" xfId="0" applyFont="1" applyAlignment="1">
      <alignment/>
    </xf>
    <xf numFmtId="49" fontId="13" fillId="0" borderId="22" xfId="0" applyNumberFormat="1" applyFont="1" applyBorder="1" applyAlignment="1">
      <alignment horizontal="left"/>
    </xf>
    <xf numFmtId="0" fontId="17" fillId="0" borderId="30" xfId="0" applyFont="1" applyBorder="1" applyAlignment="1">
      <alignment wrapText="1"/>
    </xf>
    <xf numFmtId="0" fontId="17" fillId="0" borderId="32" xfId="0" applyFont="1" applyBorder="1" applyAlignment="1">
      <alignment wrapText="1"/>
    </xf>
    <xf numFmtId="164" fontId="13" fillId="0" borderId="38" xfId="0" applyNumberFormat="1" applyFont="1" applyBorder="1" applyAlignment="1">
      <alignment/>
    </xf>
    <xf numFmtId="49" fontId="13" fillId="0" borderId="54" xfId="0" applyNumberFormat="1" applyFont="1" applyBorder="1" applyAlignment="1">
      <alignment/>
    </xf>
    <xf numFmtId="164" fontId="17" fillId="0" borderId="55" xfId="0" applyNumberFormat="1" applyFont="1" applyBorder="1" applyAlignment="1">
      <alignment/>
    </xf>
    <xf numFmtId="164" fontId="17" fillId="0" borderId="32" xfId="0" applyNumberFormat="1" applyFont="1" applyBorder="1" applyAlignment="1">
      <alignment/>
    </xf>
    <xf numFmtId="49" fontId="17" fillId="0" borderId="55" xfId="0" applyNumberFormat="1" applyFont="1" applyBorder="1" applyAlignment="1">
      <alignment horizontal="left"/>
    </xf>
    <xf numFmtId="0" fontId="13" fillId="24" borderId="19" xfId="0" applyFont="1" applyFill="1" applyBorder="1" applyAlignment="1">
      <alignment wrapText="1"/>
    </xf>
    <xf numFmtId="0" fontId="17" fillId="0" borderId="21" xfId="0" applyFont="1" applyBorder="1" applyAlignment="1">
      <alignment/>
    </xf>
    <xf numFmtId="0" fontId="17" fillId="24" borderId="11" xfId="0" applyNumberFormat="1" applyFont="1" applyFill="1" applyBorder="1" applyAlignment="1">
      <alignment wrapText="1"/>
    </xf>
    <xf numFmtId="164" fontId="13" fillId="0" borderId="12" xfId="0" applyNumberFormat="1" applyFont="1" applyBorder="1" applyAlignment="1">
      <alignment/>
    </xf>
    <xf numFmtId="49" fontId="13" fillId="0" borderId="31" xfId="0" applyNumberFormat="1" applyFont="1" applyBorder="1" applyAlignment="1">
      <alignment/>
    </xf>
    <xf numFmtId="164" fontId="13" fillId="0" borderId="11" xfId="0" applyNumberFormat="1" applyFont="1" applyBorder="1" applyAlignment="1">
      <alignment/>
    </xf>
    <xf numFmtId="49" fontId="13" fillId="0" borderId="56" xfId="0" applyNumberFormat="1" applyFont="1" applyBorder="1" applyAlignment="1">
      <alignment/>
    </xf>
    <xf numFmtId="49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24" borderId="34" xfId="0" applyFont="1" applyFill="1" applyBorder="1" applyAlignment="1">
      <alignment/>
    </xf>
    <xf numFmtId="49" fontId="17" fillId="24" borderId="18" xfId="0" applyNumberFormat="1" applyFont="1" applyFill="1" applyBorder="1" applyAlignment="1">
      <alignment horizontal="left"/>
    </xf>
    <xf numFmtId="164" fontId="17" fillId="0" borderId="30" xfId="0" applyNumberFormat="1" applyFont="1" applyBorder="1" applyAlignment="1">
      <alignment/>
    </xf>
    <xf numFmtId="164" fontId="13" fillId="0" borderId="34" xfId="0" applyNumberFormat="1" applyFont="1" applyBorder="1" applyAlignment="1">
      <alignment/>
    </xf>
    <xf numFmtId="164" fontId="17" fillId="24" borderId="34" xfId="0" applyNumberFormat="1" applyFont="1" applyFill="1" applyBorder="1" applyAlignment="1">
      <alignment/>
    </xf>
    <xf numFmtId="0" fontId="19" fillId="24" borderId="19" xfId="0" applyFont="1" applyFill="1" applyBorder="1" applyAlignment="1">
      <alignment wrapText="1"/>
    </xf>
    <xf numFmtId="0" fontId="17" fillId="0" borderId="19" xfId="0" applyNumberFormat="1" applyFont="1" applyFill="1" applyBorder="1" applyAlignment="1">
      <alignment horizontal="left" vertical="center" wrapText="1"/>
    </xf>
    <xf numFmtId="49" fontId="13" fillId="0" borderId="32" xfId="0" applyNumberFormat="1" applyFont="1" applyBorder="1" applyAlignment="1">
      <alignment horizontal="left"/>
    </xf>
    <xf numFmtId="49" fontId="13" fillId="0" borderId="55" xfId="0" applyNumberFormat="1" applyFont="1" applyBorder="1" applyAlignment="1">
      <alignment horizontal="left"/>
    </xf>
    <xf numFmtId="0" fontId="16" fillId="0" borderId="14" xfId="0" applyFont="1" applyBorder="1" applyAlignment="1">
      <alignment horizontal="center" wrapText="1"/>
    </xf>
    <xf numFmtId="49" fontId="13" fillId="0" borderId="25" xfId="0" applyNumberFormat="1" applyFont="1" applyBorder="1" applyAlignment="1">
      <alignment horizontal="left"/>
    </xf>
    <xf numFmtId="49" fontId="13" fillId="24" borderId="34" xfId="0" applyNumberFormat="1" applyFont="1" applyFill="1" applyBorder="1" applyAlignment="1">
      <alignment/>
    </xf>
    <xf numFmtId="49" fontId="13" fillId="24" borderId="19" xfId="0" applyNumberFormat="1" applyFont="1" applyFill="1" applyBorder="1" applyAlignment="1">
      <alignment/>
    </xf>
    <xf numFmtId="49" fontId="13" fillId="24" borderId="22" xfId="0" applyNumberFormat="1" applyFont="1" applyFill="1" applyBorder="1" applyAlignment="1">
      <alignment/>
    </xf>
    <xf numFmtId="49" fontId="13" fillId="24" borderId="0" xfId="0" applyNumberFormat="1" applyFont="1" applyFill="1" applyBorder="1" applyAlignment="1">
      <alignment/>
    </xf>
    <xf numFmtId="49" fontId="13" fillId="24" borderId="18" xfId="0" applyNumberFormat="1" applyFont="1" applyFill="1" applyBorder="1" applyAlignment="1">
      <alignment horizontal="left"/>
    </xf>
    <xf numFmtId="164" fontId="13" fillId="0" borderId="28" xfId="0" applyNumberFormat="1" applyFont="1" applyBorder="1" applyAlignment="1">
      <alignment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7" fillId="0" borderId="11" xfId="0" applyFont="1" applyFill="1" applyBorder="1" applyAlignment="1">
      <alignment/>
    </xf>
    <xf numFmtId="49" fontId="17" fillId="0" borderId="34" xfId="0" applyNumberFormat="1" applyFont="1" applyFill="1" applyBorder="1" applyAlignment="1">
      <alignment/>
    </xf>
    <xf numFmtId="49" fontId="17" fillId="0" borderId="15" xfId="0" applyNumberFormat="1" applyFont="1" applyFill="1" applyBorder="1" applyAlignment="1">
      <alignment/>
    </xf>
    <xf numFmtId="49" fontId="17" fillId="0" borderId="22" xfId="0" applyNumberFormat="1" applyFont="1" applyFill="1" applyBorder="1" applyAlignment="1">
      <alignment/>
    </xf>
    <xf numFmtId="49" fontId="17" fillId="0" borderId="0" xfId="0" applyNumberFormat="1" applyFont="1" applyFill="1" applyBorder="1" applyAlignment="1">
      <alignment/>
    </xf>
    <xf numFmtId="49" fontId="17" fillId="0" borderId="19" xfId="0" applyNumberFormat="1" applyFont="1" applyFill="1" applyBorder="1" applyAlignment="1">
      <alignment/>
    </xf>
    <xf numFmtId="164" fontId="17" fillId="0" borderId="21" xfId="0" applyNumberFormat="1" applyFont="1" applyFill="1" applyBorder="1" applyAlignment="1">
      <alignment/>
    </xf>
    <xf numFmtId="0" fontId="17" fillId="0" borderId="22" xfId="0" applyFont="1" applyFill="1" applyBorder="1" applyAlignment="1">
      <alignment/>
    </xf>
    <xf numFmtId="0" fontId="17" fillId="0" borderId="26" xfId="0" applyFont="1" applyFill="1" applyBorder="1" applyAlignment="1">
      <alignment wrapText="1"/>
    </xf>
    <xf numFmtId="49" fontId="17" fillId="0" borderId="26" xfId="0" applyNumberFormat="1" applyFont="1" applyFill="1" applyBorder="1" applyAlignment="1">
      <alignment/>
    </xf>
    <xf numFmtId="49" fontId="17" fillId="0" borderId="18" xfId="0" applyNumberFormat="1" applyFont="1" applyFill="1" applyBorder="1" applyAlignment="1">
      <alignment/>
    </xf>
    <xf numFmtId="49" fontId="17" fillId="0" borderId="19" xfId="0" applyNumberFormat="1" applyFont="1" applyFill="1" applyBorder="1" applyAlignment="1">
      <alignment horizontal="left"/>
    </xf>
    <xf numFmtId="164" fontId="17" fillId="0" borderId="18" xfId="0" applyNumberFormat="1" applyFont="1" applyFill="1" applyBorder="1" applyAlignment="1">
      <alignment/>
    </xf>
    <xf numFmtId="164" fontId="17" fillId="0" borderId="19" xfId="0" applyNumberFormat="1" applyFont="1" applyFill="1" applyBorder="1" applyAlignment="1">
      <alignment/>
    </xf>
    <xf numFmtId="49" fontId="17" fillId="0" borderId="30" xfId="0" applyNumberFormat="1" applyFont="1" applyFill="1" applyBorder="1" applyAlignment="1">
      <alignment/>
    </xf>
    <xf numFmtId="49" fontId="17" fillId="0" borderId="11" xfId="0" applyNumberFormat="1" applyFont="1" applyFill="1" applyBorder="1" applyAlignment="1">
      <alignment/>
    </xf>
    <xf numFmtId="164" fontId="17" fillId="0" borderId="0" xfId="0" applyNumberFormat="1" applyFont="1" applyFill="1" applyBorder="1" applyAlignment="1">
      <alignment/>
    </xf>
    <xf numFmtId="164" fontId="17" fillId="0" borderId="29" xfId="0" applyNumberFormat="1" applyFont="1" applyFill="1" applyBorder="1" applyAlignment="1">
      <alignment/>
    </xf>
    <xf numFmtId="0" fontId="17" fillId="0" borderId="26" xfId="0" applyFont="1" applyFill="1" applyBorder="1" applyAlignment="1">
      <alignment/>
    </xf>
    <xf numFmtId="49" fontId="17" fillId="0" borderId="57" xfId="0" applyNumberFormat="1" applyFont="1" applyBorder="1" applyAlignment="1">
      <alignment horizontal="left"/>
    </xf>
    <xf numFmtId="49" fontId="17" fillId="24" borderId="15" xfId="0" applyNumberFormat="1" applyFont="1" applyFill="1" applyBorder="1" applyAlignment="1">
      <alignment/>
    </xf>
    <xf numFmtId="49" fontId="17" fillId="24" borderId="44" xfId="0" applyNumberFormat="1" applyFont="1" applyFill="1" applyBorder="1" applyAlignment="1">
      <alignment/>
    </xf>
    <xf numFmtId="164" fontId="17" fillId="24" borderId="11" xfId="0" applyNumberFormat="1" applyFont="1" applyFill="1" applyBorder="1" applyAlignment="1">
      <alignment/>
    </xf>
    <xf numFmtId="49" fontId="8" fillId="0" borderId="19" xfId="0" applyNumberFormat="1" applyFont="1" applyBorder="1" applyAlignment="1">
      <alignment/>
    </xf>
    <xf numFmtId="49" fontId="8" fillId="0" borderId="18" xfId="0" applyNumberFormat="1" applyFont="1" applyBorder="1" applyAlignment="1">
      <alignment/>
    </xf>
    <xf numFmtId="0" fontId="17" fillId="0" borderId="26" xfId="0" applyNumberFormat="1" applyFont="1" applyBorder="1" applyAlignment="1">
      <alignment wrapText="1"/>
    </xf>
    <xf numFmtId="167" fontId="0" fillId="0" borderId="0" xfId="0" applyNumberFormat="1" applyAlignment="1">
      <alignment/>
    </xf>
    <xf numFmtId="0" fontId="13" fillId="24" borderId="19" xfId="0" applyFont="1" applyFill="1" applyBorder="1" applyAlignment="1">
      <alignment/>
    </xf>
    <xf numFmtId="0" fontId="17" fillId="24" borderId="32" xfId="0" applyFont="1" applyFill="1" applyBorder="1" applyAlignment="1">
      <alignment/>
    </xf>
    <xf numFmtId="0" fontId="13" fillId="24" borderId="26" xfId="0" applyFont="1" applyFill="1" applyBorder="1" applyAlignment="1">
      <alignment/>
    </xf>
    <xf numFmtId="164" fontId="17" fillId="0" borderId="39" xfId="0" applyNumberFormat="1" applyFont="1" applyBorder="1" applyAlignment="1">
      <alignment/>
    </xf>
    <xf numFmtId="164" fontId="17" fillId="0" borderId="58" xfId="0" applyNumberFormat="1" applyFont="1" applyBorder="1" applyAlignment="1">
      <alignment/>
    </xf>
    <xf numFmtId="49" fontId="17" fillId="0" borderId="59" xfId="0" applyNumberFormat="1" applyFont="1" applyBorder="1" applyAlignment="1">
      <alignment/>
    </xf>
    <xf numFmtId="167" fontId="3" fillId="0" borderId="0" xfId="0" applyNumberFormat="1" applyFont="1" applyAlignment="1">
      <alignment/>
    </xf>
    <xf numFmtId="164" fontId="13" fillId="24" borderId="11" xfId="0" applyNumberFormat="1" applyFont="1" applyFill="1" applyBorder="1" applyAlignment="1">
      <alignment/>
    </xf>
    <xf numFmtId="164" fontId="13" fillId="24" borderId="15" xfId="0" applyNumberFormat="1" applyFont="1" applyFill="1" applyBorder="1" applyAlignment="1">
      <alignment/>
    </xf>
    <xf numFmtId="0" fontId="13" fillId="24" borderId="26" xfId="0" applyFont="1" applyFill="1" applyBorder="1" applyAlignment="1">
      <alignment wrapText="1"/>
    </xf>
    <xf numFmtId="0" fontId="17" fillId="0" borderId="11" xfId="0" applyFont="1" applyFill="1" applyBorder="1" applyAlignment="1">
      <alignment wrapText="1"/>
    </xf>
    <xf numFmtId="49" fontId="17" fillId="0" borderId="25" xfId="0" applyNumberFormat="1" applyFont="1" applyBorder="1" applyAlignment="1">
      <alignment/>
    </xf>
    <xf numFmtId="49" fontId="17" fillId="0" borderId="14" xfId="0" applyNumberFormat="1" applyFont="1" applyBorder="1" applyAlignment="1">
      <alignment/>
    </xf>
    <xf numFmtId="49" fontId="17" fillId="0" borderId="12" xfId="0" applyNumberFormat="1" applyFont="1" applyBorder="1" applyAlignment="1">
      <alignment horizontal="left"/>
    </xf>
    <xf numFmtId="0" fontId="17" fillId="0" borderId="14" xfId="0" applyFont="1" applyBorder="1" applyAlignment="1">
      <alignment/>
    </xf>
    <xf numFmtId="0" fontId="17" fillId="0" borderId="38" xfId="0" applyFont="1" applyBorder="1" applyAlignment="1">
      <alignment/>
    </xf>
    <xf numFmtId="164" fontId="17" fillId="0" borderId="38" xfId="0" applyNumberFormat="1" applyFont="1" applyBorder="1" applyAlignment="1">
      <alignment/>
    </xf>
    <xf numFmtId="0" fontId="0" fillId="0" borderId="0" xfId="0" applyFont="1" applyAlignment="1">
      <alignment/>
    </xf>
    <xf numFmtId="49" fontId="17" fillId="24" borderId="11" xfId="0" applyNumberFormat="1" applyFont="1" applyFill="1" applyBorder="1" applyAlignment="1">
      <alignment horizontal="left"/>
    </xf>
    <xf numFmtId="49" fontId="17" fillId="24" borderId="21" xfId="0" applyNumberFormat="1" applyFont="1" applyFill="1" applyBorder="1" applyAlignment="1">
      <alignment horizontal="left"/>
    </xf>
    <xf numFmtId="43" fontId="0" fillId="0" borderId="0" xfId="60" applyAlignment="1">
      <alignment/>
    </xf>
    <xf numFmtId="49" fontId="17" fillId="0" borderId="29" xfId="0" applyNumberFormat="1" applyFont="1" applyFill="1" applyBorder="1" applyAlignment="1">
      <alignment/>
    </xf>
    <xf numFmtId="49" fontId="17" fillId="0" borderId="21" xfId="0" applyNumberFormat="1" applyFont="1" applyFill="1" applyBorder="1" applyAlignment="1">
      <alignment/>
    </xf>
    <xf numFmtId="49" fontId="17" fillId="0" borderId="29" xfId="0" applyNumberFormat="1" applyFont="1" applyFill="1" applyBorder="1" applyAlignment="1">
      <alignment horizontal="left"/>
    </xf>
    <xf numFmtId="164" fontId="17" fillId="0" borderId="34" xfId="0" applyNumberFormat="1" applyFont="1" applyFill="1" applyBorder="1" applyAlignment="1">
      <alignment/>
    </xf>
    <xf numFmtId="164" fontId="17" fillId="0" borderId="22" xfId="0" applyNumberFormat="1" applyFont="1" applyFill="1" applyBorder="1" applyAlignment="1">
      <alignment/>
    </xf>
    <xf numFmtId="164" fontId="13" fillId="0" borderId="16" xfId="0" applyNumberFormat="1" applyFont="1" applyBorder="1" applyAlignment="1">
      <alignment/>
    </xf>
    <xf numFmtId="49" fontId="8" fillId="0" borderId="22" xfId="0" applyNumberFormat="1" applyFont="1" applyBorder="1" applyAlignment="1">
      <alignment/>
    </xf>
    <xf numFmtId="49" fontId="8" fillId="0" borderId="15" xfId="0" applyNumberFormat="1" applyFont="1" applyBorder="1" applyAlignment="1">
      <alignment/>
    </xf>
    <xf numFmtId="49" fontId="17" fillId="0" borderId="60" xfId="0" applyNumberFormat="1" applyFont="1" applyBorder="1" applyAlignment="1">
      <alignment/>
    </xf>
    <xf numFmtId="49" fontId="17" fillId="0" borderId="55" xfId="0" applyNumberFormat="1" applyFont="1" applyBorder="1" applyAlignment="1">
      <alignment/>
    </xf>
    <xf numFmtId="49" fontId="17" fillId="0" borderId="56" xfId="0" applyNumberFormat="1" applyFont="1" applyBorder="1" applyAlignment="1">
      <alignment horizontal="left"/>
    </xf>
    <xf numFmtId="49" fontId="17" fillId="0" borderId="31" xfId="0" applyNumberFormat="1" applyFont="1" applyBorder="1" applyAlignment="1">
      <alignment horizontal="left"/>
    </xf>
    <xf numFmtId="164" fontId="13" fillId="0" borderId="55" xfId="0" applyNumberFormat="1" applyFont="1" applyBorder="1" applyAlignment="1">
      <alignment/>
    </xf>
    <xf numFmtId="164" fontId="13" fillId="0" borderId="32" xfId="0" applyNumberFormat="1" applyFont="1" applyBorder="1" applyAlignment="1">
      <alignment/>
    </xf>
    <xf numFmtId="49" fontId="17" fillId="0" borderId="61" xfId="0" applyNumberFormat="1" applyFont="1" applyBorder="1" applyAlignment="1">
      <alignment/>
    </xf>
    <xf numFmtId="49" fontId="17" fillId="0" borderId="57" xfId="0" applyNumberFormat="1" applyFont="1" applyBorder="1" applyAlignment="1">
      <alignment/>
    </xf>
    <xf numFmtId="49" fontId="17" fillId="0" borderId="35" xfId="0" applyNumberFormat="1" applyFont="1" applyBorder="1" applyAlignment="1">
      <alignment horizontal="left"/>
    </xf>
    <xf numFmtId="164" fontId="13" fillId="0" borderId="57" xfId="0" applyNumberFormat="1" applyFont="1" applyBorder="1" applyAlignment="1">
      <alignment/>
    </xf>
    <xf numFmtId="49" fontId="17" fillId="0" borderId="17" xfId="0" applyNumberFormat="1" applyFont="1" applyBorder="1" applyAlignment="1">
      <alignment/>
    </xf>
    <xf numFmtId="174" fontId="15" fillId="0" borderId="25" xfId="60" applyNumberFormat="1" applyFont="1" applyBorder="1" applyAlignment="1">
      <alignment horizontal="center"/>
    </xf>
    <xf numFmtId="174" fontId="13" fillId="0" borderId="12" xfId="60" applyNumberFormat="1" applyFont="1" applyBorder="1" applyAlignment="1">
      <alignment/>
    </xf>
    <xf numFmtId="49" fontId="13" fillId="0" borderId="14" xfId="0" applyNumberFormat="1" applyFont="1" applyBorder="1" applyAlignment="1">
      <alignment horizontal="center"/>
    </xf>
    <xf numFmtId="174" fontId="13" fillId="0" borderId="51" xfId="60" applyNumberFormat="1" applyFont="1" applyBorder="1" applyAlignment="1">
      <alignment/>
    </xf>
    <xf numFmtId="174" fontId="13" fillId="0" borderId="25" xfId="60" applyNumberFormat="1" applyFont="1" applyBorder="1" applyAlignment="1">
      <alignment horizontal="left"/>
    </xf>
    <xf numFmtId="0" fontId="17" fillId="0" borderId="41" xfId="0" applyFont="1" applyFill="1" applyBorder="1" applyAlignment="1">
      <alignment wrapText="1"/>
    </xf>
    <xf numFmtId="0" fontId="17" fillId="0" borderId="18" xfId="0" applyFont="1" applyFill="1" applyBorder="1" applyAlignment="1">
      <alignment wrapText="1"/>
    </xf>
    <xf numFmtId="0" fontId="17" fillId="0" borderId="41" xfId="0" applyFont="1" applyBorder="1" applyAlignment="1">
      <alignment/>
    </xf>
    <xf numFmtId="49" fontId="13" fillId="0" borderId="30" xfId="0" applyNumberFormat="1" applyFont="1" applyBorder="1" applyAlignment="1">
      <alignment/>
    </xf>
    <xf numFmtId="175" fontId="9" fillId="0" borderId="0" xfId="0" applyNumberFormat="1" applyFont="1" applyAlignment="1">
      <alignment/>
    </xf>
    <xf numFmtId="0" fontId="13" fillId="0" borderId="26" xfId="0" applyFont="1" applyFill="1" applyBorder="1" applyAlignment="1">
      <alignment/>
    </xf>
    <xf numFmtId="49" fontId="13" fillId="0" borderId="26" xfId="0" applyNumberFormat="1" applyFont="1" applyFill="1" applyBorder="1" applyAlignment="1">
      <alignment/>
    </xf>
    <xf numFmtId="49" fontId="13" fillId="0" borderId="11" xfId="0" applyNumberFormat="1" applyFont="1" applyFill="1" applyBorder="1" applyAlignment="1">
      <alignment/>
    </xf>
    <xf numFmtId="49" fontId="13" fillId="0" borderId="15" xfId="0" applyNumberFormat="1" applyFont="1" applyFill="1" applyBorder="1" applyAlignment="1">
      <alignment/>
    </xf>
    <xf numFmtId="49" fontId="13" fillId="0" borderId="19" xfId="0" applyNumberFormat="1" applyFont="1" applyFill="1" applyBorder="1" applyAlignment="1">
      <alignment/>
    </xf>
    <xf numFmtId="49" fontId="13" fillId="0" borderId="18" xfId="0" applyNumberFormat="1" applyFont="1" applyFill="1" applyBorder="1" applyAlignment="1">
      <alignment/>
    </xf>
    <xf numFmtId="49" fontId="13" fillId="0" borderId="26" xfId="0" applyNumberFormat="1" applyFont="1" applyFill="1" applyBorder="1" applyAlignment="1">
      <alignment horizontal="left"/>
    </xf>
    <xf numFmtId="164" fontId="13" fillId="0" borderId="26" xfId="0" applyNumberFormat="1" applyFont="1" applyFill="1" applyBorder="1" applyAlignment="1">
      <alignment/>
    </xf>
    <xf numFmtId="164" fontId="13" fillId="0" borderId="19" xfId="0" applyNumberFormat="1" applyFont="1" applyFill="1" applyBorder="1" applyAlignment="1">
      <alignment/>
    </xf>
    <xf numFmtId="0" fontId="0" fillId="0" borderId="0" xfId="0" applyFill="1" applyAlignment="1">
      <alignment/>
    </xf>
    <xf numFmtId="164" fontId="17" fillId="0" borderId="26" xfId="0" applyNumberFormat="1" applyFont="1" applyFill="1" applyBorder="1" applyAlignment="1">
      <alignment/>
    </xf>
    <xf numFmtId="49" fontId="17" fillId="0" borderId="26" xfId="0" applyNumberFormat="1" applyFont="1" applyFill="1" applyBorder="1" applyAlignment="1">
      <alignment horizontal="left"/>
    </xf>
    <xf numFmtId="0" fontId="19" fillId="0" borderId="26" xfId="0" applyFont="1" applyFill="1" applyBorder="1" applyAlignment="1">
      <alignment wrapText="1"/>
    </xf>
    <xf numFmtId="0" fontId="17" fillId="0" borderId="19" xfId="0" applyFont="1" applyFill="1" applyBorder="1" applyAlignment="1">
      <alignment/>
    </xf>
    <xf numFmtId="164" fontId="17" fillId="0" borderId="15" xfId="0" applyNumberFormat="1" applyFont="1" applyFill="1" applyBorder="1" applyAlignment="1">
      <alignment/>
    </xf>
    <xf numFmtId="0" fontId="17" fillId="0" borderId="30" xfId="0" applyFont="1" applyFill="1" applyBorder="1" applyAlignment="1">
      <alignment/>
    </xf>
    <xf numFmtId="0" fontId="1" fillId="0" borderId="0" xfId="0" applyFont="1" applyFill="1" applyAlignment="1">
      <alignment/>
    </xf>
    <xf numFmtId="49" fontId="17" fillId="0" borderId="41" xfId="0" applyNumberFormat="1" applyFont="1" applyFill="1" applyBorder="1" applyAlignment="1">
      <alignment/>
    </xf>
    <xf numFmtId="164" fontId="17" fillId="0" borderId="41" xfId="0" applyNumberFormat="1" applyFont="1" applyFill="1" applyBorder="1" applyAlignment="1">
      <alignment/>
    </xf>
    <xf numFmtId="0" fontId="37" fillId="0" borderId="0" xfId="0" applyFont="1" applyAlignment="1">
      <alignment/>
    </xf>
    <xf numFmtId="0" fontId="17" fillId="0" borderId="26" xfId="0" applyFont="1" applyFill="1" applyBorder="1" applyAlignment="1">
      <alignment horizontal="left" wrapText="1"/>
    </xf>
    <xf numFmtId="0" fontId="17" fillId="24" borderId="26" xfId="0" applyNumberFormat="1" applyFont="1" applyFill="1" applyBorder="1" applyAlignment="1">
      <alignment wrapText="1"/>
    </xf>
    <xf numFmtId="0" fontId="17" fillId="24" borderId="37" xfId="0" applyFont="1" applyFill="1" applyBorder="1" applyAlignment="1">
      <alignment wrapText="1"/>
    </xf>
    <xf numFmtId="49" fontId="17" fillId="24" borderId="37" xfId="0" applyNumberFormat="1" applyFont="1" applyFill="1" applyBorder="1" applyAlignment="1">
      <alignment/>
    </xf>
    <xf numFmtId="49" fontId="17" fillId="24" borderId="24" xfId="0" applyNumberFormat="1" applyFont="1" applyFill="1" applyBorder="1" applyAlignment="1">
      <alignment/>
    </xf>
    <xf numFmtId="49" fontId="17" fillId="24" borderId="23" xfId="0" applyNumberFormat="1" applyFont="1" applyFill="1" applyBorder="1" applyAlignment="1">
      <alignment/>
    </xf>
    <xf numFmtId="49" fontId="17" fillId="24" borderId="24" xfId="0" applyNumberFormat="1" applyFont="1" applyFill="1" applyBorder="1" applyAlignment="1">
      <alignment horizontal="left"/>
    </xf>
    <xf numFmtId="164" fontId="17" fillId="24" borderId="24" xfId="0" applyNumberFormat="1" applyFont="1" applyFill="1" applyBorder="1" applyAlignment="1">
      <alignment/>
    </xf>
    <xf numFmtId="164" fontId="17" fillId="24" borderId="20" xfId="0" applyNumberFormat="1" applyFont="1" applyFill="1" applyBorder="1" applyAlignment="1">
      <alignment/>
    </xf>
    <xf numFmtId="164" fontId="17" fillId="24" borderId="42" xfId="0" applyNumberFormat="1" applyFont="1" applyFill="1" applyBorder="1" applyAlignment="1">
      <alignment/>
    </xf>
    <xf numFmtId="49" fontId="17" fillId="24" borderId="32" xfId="0" applyNumberFormat="1" applyFont="1" applyFill="1" applyBorder="1" applyAlignment="1">
      <alignment/>
    </xf>
    <xf numFmtId="0" fontId="17" fillId="24" borderId="30" xfId="0" applyFont="1" applyFill="1" applyBorder="1" applyAlignment="1">
      <alignment wrapText="1"/>
    </xf>
    <xf numFmtId="49" fontId="17" fillId="24" borderId="42" xfId="0" applyNumberFormat="1" applyFont="1" applyFill="1" applyBorder="1" applyAlignment="1">
      <alignment/>
    </xf>
    <xf numFmtId="164" fontId="17" fillId="24" borderId="21" xfId="0" applyNumberFormat="1" applyFont="1" applyFill="1" applyBorder="1" applyAlignment="1">
      <alignment/>
    </xf>
    <xf numFmtId="49" fontId="13" fillId="0" borderId="62" xfId="0" applyNumberFormat="1" applyFont="1" applyBorder="1" applyAlignment="1">
      <alignment horizontal="left"/>
    </xf>
    <xf numFmtId="49" fontId="17" fillId="24" borderId="22" xfId="0" applyNumberFormat="1" applyFont="1" applyFill="1" applyBorder="1" applyAlignment="1">
      <alignment horizontal="left"/>
    </xf>
    <xf numFmtId="0" fontId="17" fillId="24" borderId="32" xfId="0" applyFont="1" applyFill="1" applyBorder="1" applyAlignment="1">
      <alignment wrapText="1"/>
    </xf>
    <xf numFmtId="49" fontId="17" fillId="24" borderId="32" xfId="0" applyNumberFormat="1" applyFont="1" applyFill="1" applyBorder="1" applyAlignment="1">
      <alignment horizontal="left"/>
    </xf>
    <xf numFmtId="164" fontId="13" fillId="24" borderId="14" xfId="0" applyNumberFormat="1" applyFont="1" applyFill="1" applyBorder="1" applyAlignment="1">
      <alignment/>
    </xf>
    <xf numFmtId="164" fontId="13" fillId="24" borderId="17" xfId="0" applyNumberFormat="1" applyFont="1" applyFill="1" applyBorder="1" applyAlignment="1">
      <alignment/>
    </xf>
    <xf numFmtId="164" fontId="13" fillId="24" borderId="26" xfId="0" applyNumberFormat="1" applyFont="1" applyFill="1" applyBorder="1" applyAlignment="1">
      <alignment/>
    </xf>
    <xf numFmtId="164" fontId="13" fillId="24" borderId="36" xfId="0" applyNumberFormat="1" applyFont="1" applyFill="1" applyBorder="1" applyAlignment="1">
      <alignment/>
    </xf>
    <xf numFmtId="0" fontId="8" fillId="0" borderId="0" xfId="0" applyFont="1" applyAlignment="1">
      <alignment horizontal="right"/>
    </xf>
    <xf numFmtId="164" fontId="13" fillId="24" borderId="18" xfId="0" applyNumberFormat="1" applyFont="1" applyFill="1" applyBorder="1" applyAlignment="1">
      <alignment/>
    </xf>
    <xf numFmtId="164" fontId="17" fillId="24" borderId="23" xfId="0" applyNumberFormat="1" applyFont="1" applyFill="1" applyBorder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49" fontId="13" fillId="0" borderId="38" xfId="0" applyNumberFormat="1" applyFont="1" applyFill="1" applyBorder="1" applyAlignment="1">
      <alignment wrapText="1"/>
    </xf>
    <xf numFmtId="0" fontId="17" fillId="0" borderId="49" xfId="0" applyFont="1" applyBorder="1" applyAlignment="1">
      <alignment wrapText="1"/>
    </xf>
    <xf numFmtId="0" fontId="15" fillId="0" borderId="38" xfId="0" applyFont="1" applyBorder="1" applyAlignment="1">
      <alignment/>
    </xf>
    <xf numFmtId="0" fontId="8" fillId="0" borderId="49" xfId="0" applyFont="1" applyBorder="1" applyAlignment="1">
      <alignment/>
    </xf>
    <xf numFmtId="49" fontId="13" fillId="0" borderId="38" xfId="0" applyNumberFormat="1" applyFont="1" applyBorder="1" applyAlignment="1">
      <alignment/>
    </xf>
    <xf numFmtId="49" fontId="13" fillId="0" borderId="54" xfId="0" applyNumberFormat="1" applyFont="1" applyBorder="1" applyAlignment="1">
      <alignment/>
    </xf>
    <xf numFmtId="0" fontId="8" fillId="0" borderId="48" xfId="0" applyFont="1" applyBorder="1" applyAlignment="1">
      <alignment/>
    </xf>
    <xf numFmtId="0" fontId="13" fillId="0" borderId="38" xfId="0" applyFont="1" applyBorder="1" applyAlignment="1">
      <alignment/>
    </xf>
    <xf numFmtId="0" fontId="8" fillId="0" borderId="0" xfId="0" applyFont="1" applyAlignment="1">
      <alignment horizontal="right"/>
    </xf>
    <xf numFmtId="49" fontId="14" fillId="0" borderId="38" xfId="0" applyNumberFormat="1" applyFont="1" applyBorder="1" applyAlignment="1">
      <alignment/>
    </xf>
    <xf numFmtId="0" fontId="15" fillId="0" borderId="49" xfId="0" applyFont="1" applyBorder="1" applyAlignment="1">
      <alignment/>
    </xf>
    <xf numFmtId="49" fontId="14" fillId="0" borderId="38" xfId="0" applyNumberFormat="1" applyFont="1" applyBorder="1" applyAlignment="1">
      <alignment wrapText="1"/>
    </xf>
    <xf numFmtId="0" fontId="15" fillId="0" borderId="49" xfId="0" applyFont="1" applyBorder="1" applyAlignment="1">
      <alignment wrapText="1"/>
    </xf>
    <xf numFmtId="0" fontId="15" fillId="0" borderId="0" xfId="0" applyFont="1" applyAlignment="1">
      <alignment horizontal="center"/>
    </xf>
    <xf numFmtId="0" fontId="14" fillId="0" borderId="38" xfId="0" applyFont="1" applyBorder="1" applyAlignment="1">
      <alignment/>
    </xf>
    <xf numFmtId="49" fontId="14" fillId="0" borderId="38" xfId="0" applyNumberFormat="1" applyFont="1" applyFill="1" applyBorder="1" applyAlignment="1">
      <alignment wrapText="1"/>
    </xf>
    <xf numFmtId="0" fontId="15" fillId="0" borderId="28" xfId="0" applyFont="1" applyBorder="1" applyAlignment="1">
      <alignment horizontal="center"/>
    </xf>
    <xf numFmtId="0" fontId="15" fillId="0" borderId="50" xfId="0" applyFont="1" applyBorder="1" applyAlignment="1">
      <alignment/>
    </xf>
    <xf numFmtId="0" fontId="17" fillId="0" borderId="38" xfId="0" applyFont="1" applyBorder="1" applyAlignment="1">
      <alignment horizontal="left"/>
    </xf>
    <xf numFmtId="0" fontId="17" fillId="0" borderId="49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57"/>
  <sheetViews>
    <sheetView zoomScalePageLayoutView="0" workbookViewId="0" topLeftCell="A1">
      <selection activeCell="A20" sqref="A20"/>
    </sheetView>
  </sheetViews>
  <sheetFormatPr defaultColWidth="8.796875" defaultRowHeight="15"/>
  <cols>
    <col min="1" max="1" width="56.69921875" style="16" customWidth="1"/>
    <col min="2" max="2" width="3.59765625" style="17" customWidth="1"/>
    <col min="3" max="3" width="3.5" style="17" customWidth="1"/>
    <col min="4" max="4" width="10.59765625" style="17" customWidth="1"/>
    <col min="5" max="5" width="4.09765625" style="17" customWidth="1"/>
    <col min="6" max="6" width="0.1015625" style="17" hidden="1" customWidth="1"/>
    <col min="7" max="7" width="14.5" style="19" customWidth="1"/>
    <col min="8" max="8" width="15.8984375" style="16" customWidth="1"/>
    <col min="9" max="9" width="8.69921875" style="5" customWidth="1"/>
    <col min="10" max="10" width="11.5" style="0" customWidth="1"/>
  </cols>
  <sheetData>
    <row r="2" spans="7:9" ht="15.75">
      <c r="G2" s="421" t="s">
        <v>315</v>
      </c>
      <c r="H2" s="421"/>
      <c r="I2"/>
    </row>
    <row r="3" spans="7:9" ht="15.75">
      <c r="G3" s="421" t="s">
        <v>311</v>
      </c>
      <c r="H3" s="421"/>
      <c r="I3"/>
    </row>
    <row r="4" spans="7:9" ht="15.75">
      <c r="G4" s="421" t="s">
        <v>492</v>
      </c>
      <c r="H4" s="421"/>
      <c r="I4"/>
    </row>
    <row r="5" spans="7:9" ht="15.75">
      <c r="G5" s="421" t="s">
        <v>316</v>
      </c>
      <c r="H5" s="421"/>
      <c r="I5"/>
    </row>
    <row r="6" spans="7:9" ht="15.75">
      <c r="G6" s="421" t="s">
        <v>311</v>
      </c>
      <c r="H6" s="421"/>
      <c r="I6"/>
    </row>
    <row r="7" spans="7:9" ht="15.75">
      <c r="G7" s="421" t="s">
        <v>317</v>
      </c>
      <c r="H7" s="421"/>
      <c r="I7"/>
    </row>
    <row r="8" ht="15.75">
      <c r="H8" s="6"/>
    </row>
    <row r="9" spans="1:9" s="123" customFormat="1" ht="15">
      <c r="A9" s="411" t="s">
        <v>233</v>
      </c>
      <c r="B9" s="411"/>
      <c r="C9" s="411"/>
      <c r="D9" s="411"/>
      <c r="E9" s="411"/>
      <c r="F9" s="411"/>
      <c r="G9" s="411"/>
      <c r="H9" s="411"/>
      <c r="I9" s="14"/>
    </row>
    <row r="10" spans="1:9" s="123" customFormat="1" ht="18.75" customHeight="1">
      <c r="A10" s="412" t="s">
        <v>219</v>
      </c>
      <c r="B10" s="412"/>
      <c r="C10" s="412"/>
      <c r="D10" s="412"/>
      <c r="E10" s="412"/>
      <c r="F10" s="412"/>
      <c r="G10" s="412"/>
      <c r="H10" s="412"/>
      <c r="I10" s="14"/>
    </row>
    <row r="11" spans="1:8" ht="18.75" customHeight="1" thickBot="1">
      <c r="A11" s="10"/>
      <c r="B11" s="10"/>
      <c r="C11" s="10"/>
      <c r="D11" s="10"/>
      <c r="E11" s="10"/>
      <c r="F11" s="10"/>
      <c r="G11" s="10"/>
      <c r="H11" s="11" t="s">
        <v>154</v>
      </c>
    </row>
    <row r="12" spans="1:9" s="4" customFormat="1" ht="16.5" thickBot="1">
      <c r="A12" s="415" t="s">
        <v>78</v>
      </c>
      <c r="B12" s="417" t="s">
        <v>110</v>
      </c>
      <c r="C12" s="417" t="s">
        <v>111</v>
      </c>
      <c r="D12" s="417" t="s">
        <v>112</v>
      </c>
      <c r="E12" s="418" t="s">
        <v>113</v>
      </c>
      <c r="F12" s="20"/>
      <c r="G12" s="420" t="s">
        <v>41</v>
      </c>
      <c r="H12" s="413" t="s">
        <v>194</v>
      </c>
      <c r="I12" s="5"/>
    </row>
    <row r="13" spans="1:9" s="4" customFormat="1" ht="74.25" customHeight="1" thickBot="1">
      <c r="A13" s="416"/>
      <c r="B13" s="416"/>
      <c r="C13" s="416"/>
      <c r="D13" s="416"/>
      <c r="E13" s="419"/>
      <c r="F13" s="21"/>
      <c r="G13" s="416"/>
      <c r="H13" s="414"/>
      <c r="I13" s="5"/>
    </row>
    <row r="14" spans="1:9" s="4" customFormat="1" ht="16.5" thickBot="1">
      <c r="A14" s="70" t="s">
        <v>13</v>
      </c>
      <c r="B14" s="20" t="s">
        <v>114</v>
      </c>
      <c r="C14" s="22"/>
      <c r="D14" s="22"/>
      <c r="E14" s="214"/>
      <c r="F14" s="20"/>
      <c r="G14" s="23">
        <f>G15+G48+G52+G27+G19+G43+G39</f>
        <v>194127</v>
      </c>
      <c r="H14" s="23">
        <f>H15+H48+H52+H27+H19+H43+H39</f>
        <v>9231</v>
      </c>
      <c r="I14" s="5"/>
    </row>
    <row r="15" spans="1:9" s="4" customFormat="1" ht="30">
      <c r="A15" s="24" t="s">
        <v>67</v>
      </c>
      <c r="B15" s="25" t="s">
        <v>114</v>
      </c>
      <c r="C15" s="26" t="s">
        <v>115</v>
      </c>
      <c r="D15" s="26"/>
      <c r="E15" s="215"/>
      <c r="F15" s="25"/>
      <c r="G15" s="27">
        <f aca="true" t="shared" si="0" ref="G15:H17">G16</f>
        <v>3445.2999999999997</v>
      </c>
      <c r="H15" s="27">
        <f t="shared" si="0"/>
        <v>0</v>
      </c>
      <c r="I15" s="5"/>
    </row>
    <row r="16" spans="1:9" s="4" customFormat="1" ht="42.75" customHeight="1">
      <c r="A16" s="116" t="s">
        <v>189</v>
      </c>
      <c r="B16" s="28" t="s">
        <v>114</v>
      </c>
      <c r="C16" s="29" t="s">
        <v>115</v>
      </c>
      <c r="D16" s="29" t="s">
        <v>157</v>
      </c>
      <c r="E16" s="132"/>
      <c r="F16" s="28"/>
      <c r="G16" s="30">
        <f t="shared" si="0"/>
        <v>3445.2999999999997</v>
      </c>
      <c r="H16" s="30">
        <f t="shared" si="0"/>
        <v>0</v>
      </c>
      <c r="I16" s="5"/>
    </row>
    <row r="17" spans="1:9" s="4" customFormat="1" ht="15.75">
      <c r="A17" s="117" t="s">
        <v>162</v>
      </c>
      <c r="B17" s="28" t="s">
        <v>114</v>
      </c>
      <c r="C17" s="29" t="s">
        <v>115</v>
      </c>
      <c r="D17" s="29" t="s">
        <v>163</v>
      </c>
      <c r="E17" s="132"/>
      <c r="F17" s="28"/>
      <c r="G17" s="30">
        <f t="shared" si="0"/>
        <v>3445.2999999999997</v>
      </c>
      <c r="H17" s="30">
        <f t="shared" si="0"/>
        <v>0</v>
      </c>
      <c r="I17" s="5"/>
    </row>
    <row r="18" spans="1:9" s="4" customFormat="1" ht="15.75">
      <c r="A18" s="118" t="s">
        <v>94</v>
      </c>
      <c r="B18" s="28" t="s">
        <v>114</v>
      </c>
      <c r="C18" s="29" t="s">
        <v>115</v>
      </c>
      <c r="D18" s="29" t="s">
        <v>163</v>
      </c>
      <c r="E18" s="132" t="s">
        <v>158</v>
      </c>
      <c r="F18" s="28"/>
      <c r="G18" s="30">
        <f>'Прилож №5'!H17</f>
        <v>3445.2999999999997</v>
      </c>
      <c r="H18" s="30">
        <f>'Прилож №5'!I17</f>
        <v>0</v>
      </c>
      <c r="I18" s="5"/>
    </row>
    <row r="19" spans="1:8" s="14" customFormat="1" ht="45">
      <c r="A19" s="24" t="s">
        <v>164</v>
      </c>
      <c r="B19" s="32" t="s">
        <v>114</v>
      </c>
      <c r="C19" s="33" t="s">
        <v>119</v>
      </c>
      <c r="D19" s="33"/>
      <c r="E19" s="155"/>
      <c r="F19" s="32"/>
      <c r="G19" s="34">
        <f>G20</f>
        <v>5499.2</v>
      </c>
      <c r="H19" s="34">
        <f>H20</f>
        <v>0</v>
      </c>
    </row>
    <row r="20" spans="1:9" s="4" customFormat="1" ht="43.5">
      <c r="A20" s="116" t="s">
        <v>161</v>
      </c>
      <c r="B20" s="28" t="s">
        <v>114</v>
      </c>
      <c r="C20" s="29" t="s">
        <v>119</v>
      </c>
      <c r="D20" s="29" t="s">
        <v>157</v>
      </c>
      <c r="E20" s="132"/>
      <c r="F20" s="28"/>
      <c r="G20" s="30">
        <f>G21+G23+G25</f>
        <v>5499.2</v>
      </c>
      <c r="H20" s="30">
        <f>H21+H23</f>
        <v>0</v>
      </c>
      <c r="I20" s="5"/>
    </row>
    <row r="21" spans="1:9" s="4" customFormat="1" ht="15.75">
      <c r="A21" s="118" t="s">
        <v>37</v>
      </c>
      <c r="B21" s="28" t="s">
        <v>114</v>
      </c>
      <c r="C21" s="29" t="s">
        <v>119</v>
      </c>
      <c r="D21" s="29" t="s">
        <v>159</v>
      </c>
      <c r="E21" s="132"/>
      <c r="F21" s="28"/>
      <c r="G21" s="30">
        <f>G22</f>
        <v>2703.2</v>
      </c>
      <c r="H21" s="30">
        <f>H22</f>
        <v>0</v>
      </c>
      <c r="I21" s="5"/>
    </row>
    <row r="22" spans="1:9" s="4" customFormat="1" ht="15.75">
      <c r="A22" s="118" t="s">
        <v>94</v>
      </c>
      <c r="B22" s="28" t="s">
        <v>114</v>
      </c>
      <c r="C22" s="29" t="s">
        <v>119</v>
      </c>
      <c r="D22" s="29" t="s">
        <v>159</v>
      </c>
      <c r="E22" s="132" t="s">
        <v>158</v>
      </c>
      <c r="F22" s="28"/>
      <c r="G22" s="30">
        <f>'Прилож №5'!H459</f>
        <v>2703.2</v>
      </c>
      <c r="H22" s="30">
        <f>'Прилож №5'!I459</f>
        <v>0</v>
      </c>
      <c r="I22" s="5"/>
    </row>
    <row r="23" spans="1:9" s="4" customFormat="1" ht="18" customHeight="1">
      <c r="A23" s="162" t="s">
        <v>237</v>
      </c>
      <c r="B23" s="28" t="s">
        <v>114</v>
      </c>
      <c r="C23" s="29" t="s">
        <v>119</v>
      </c>
      <c r="D23" s="29" t="s">
        <v>238</v>
      </c>
      <c r="E23" s="132"/>
      <c r="F23" s="28"/>
      <c r="G23" s="30">
        <f>G24</f>
        <v>3</v>
      </c>
      <c r="H23" s="30"/>
      <c r="I23" s="5"/>
    </row>
    <row r="24" spans="1:9" s="4" customFormat="1" ht="15.75">
      <c r="A24" s="118" t="s">
        <v>94</v>
      </c>
      <c r="B24" s="28" t="s">
        <v>114</v>
      </c>
      <c r="C24" s="29" t="s">
        <v>119</v>
      </c>
      <c r="D24" s="29" t="s">
        <v>238</v>
      </c>
      <c r="E24" s="132" t="s">
        <v>158</v>
      </c>
      <c r="F24" s="28"/>
      <c r="G24" s="30">
        <f>'Прилож №5'!H463</f>
        <v>3</v>
      </c>
      <c r="H24" s="30"/>
      <c r="I24" s="5"/>
    </row>
    <row r="25" spans="1:9" s="4" customFormat="1" ht="29.25">
      <c r="A25" s="117" t="s">
        <v>165</v>
      </c>
      <c r="B25" s="28" t="s">
        <v>114</v>
      </c>
      <c r="C25" s="29" t="s">
        <v>119</v>
      </c>
      <c r="D25" s="29" t="s">
        <v>166</v>
      </c>
      <c r="E25" s="132"/>
      <c r="F25" s="28"/>
      <c r="G25" s="30">
        <f>G26</f>
        <v>2793</v>
      </c>
      <c r="H25" s="30">
        <f>H26</f>
        <v>0</v>
      </c>
      <c r="I25" s="5"/>
    </row>
    <row r="26" spans="1:9" s="4" customFormat="1" ht="15.75">
      <c r="A26" s="118" t="s">
        <v>94</v>
      </c>
      <c r="B26" s="28" t="s">
        <v>114</v>
      </c>
      <c r="C26" s="29" t="s">
        <v>119</v>
      </c>
      <c r="D26" s="29" t="s">
        <v>166</v>
      </c>
      <c r="E26" s="132" t="s">
        <v>158</v>
      </c>
      <c r="F26" s="28"/>
      <c r="G26" s="30">
        <f>'Прилож №5'!H461</f>
        <v>2793</v>
      </c>
      <c r="H26" s="30">
        <f>'Прилож №5'!I461</f>
        <v>0</v>
      </c>
      <c r="I26" s="5"/>
    </row>
    <row r="27" spans="1:9" s="4" customFormat="1" ht="42" customHeight="1">
      <c r="A27" s="31" t="s">
        <v>68</v>
      </c>
      <c r="B27" s="32" t="s">
        <v>114</v>
      </c>
      <c r="C27" s="33" t="s">
        <v>116</v>
      </c>
      <c r="D27" s="33"/>
      <c r="E27" s="155"/>
      <c r="F27" s="32"/>
      <c r="G27" s="34">
        <f>G28</f>
        <v>102375.3</v>
      </c>
      <c r="H27" s="34">
        <f>H28</f>
        <v>9090</v>
      </c>
      <c r="I27" s="5"/>
    </row>
    <row r="28" spans="1:9" s="4" customFormat="1" ht="18.75" customHeight="1">
      <c r="A28" s="116" t="s">
        <v>95</v>
      </c>
      <c r="B28" s="28" t="s">
        <v>114</v>
      </c>
      <c r="C28" s="29" t="s">
        <v>116</v>
      </c>
      <c r="D28" s="29" t="s">
        <v>157</v>
      </c>
      <c r="E28" s="132"/>
      <c r="F28" s="28"/>
      <c r="G28" s="30">
        <f>G29+G37</f>
        <v>102375.3</v>
      </c>
      <c r="H28" s="30">
        <f>H29</f>
        <v>9090</v>
      </c>
      <c r="I28" s="5"/>
    </row>
    <row r="29" spans="1:9" s="4" customFormat="1" ht="15.75">
      <c r="A29" s="118" t="s">
        <v>37</v>
      </c>
      <c r="B29" s="28" t="s">
        <v>114</v>
      </c>
      <c r="C29" s="29" t="s">
        <v>116</v>
      </c>
      <c r="D29" s="29" t="s">
        <v>159</v>
      </c>
      <c r="E29" s="132"/>
      <c r="F29" s="28"/>
      <c r="G29" s="30">
        <f>G30+G32+G34+G36</f>
        <v>102192.3</v>
      </c>
      <c r="H29" s="30">
        <f>H30+H32+H34+H36</f>
        <v>9090</v>
      </c>
      <c r="I29" s="5"/>
    </row>
    <row r="30" spans="1:9" s="4" customFormat="1" ht="15.75">
      <c r="A30" s="118" t="s">
        <v>94</v>
      </c>
      <c r="B30" s="28" t="s">
        <v>114</v>
      </c>
      <c r="C30" s="29" t="s">
        <v>116</v>
      </c>
      <c r="D30" s="29" t="s">
        <v>159</v>
      </c>
      <c r="E30" s="132" t="s">
        <v>158</v>
      </c>
      <c r="F30" s="28"/>
      <c r="G30" s="30">
        <f>'Прилож №5'!H21</f>
        <v>93102.3</v>
      </c>
      <c r="H30" s="30">
        <f>'Прилож №5'!I21</f>
        <v>0</v>
      </c>
      <c r="I30" s="5"/>
    </row>
    <row r="31" spans="1:9" s="4" customFormat="1" ht="86.25">
      <c r="A31" s="112" t="s">
        <v>375</v>
      </c>
      <c r="B31" s="29" t="s">
        <v>114</v>
      </c>
      <c r="C31" s="84" t="s">
        <v>116</v>
      </c>
      <c r="D31" s="29" t="s">
        <v>336</v>
      </c>
      <c r="E31" s="28"/>
      <c r="F31" s="28"/>
      <c r="G31" s="30">
        <f>G32</f>
        <v>4539</v>
      </c>
      <c r="H31" s="30">
        <f>H32</f>
        <v>4539</v>
      </c>
      <c r="I31" s="5"/>
    </row>
    <row r="32" spans="1:9" s="4" customFormat="1" ht="15.75">
      <c r="A32" s="113" t="s">
        <v>308</v>
      </c>
      <c r="B32" s="29" t="s">
        <v>114</v>
      </c>
      <c r="C32" s="84" t="s">
        <v>116</v>
      </c>
      <c r="D32" s="29" t="s">
        <v>336</v>
      </c>
      <c r="E32" s="28" t="s">
        <v>309</v>
      </c>
      <c r="F32" s="28"/>
      <c r="G32" s="30">
        <f>'Прилож №5'!H23</f>
        <v>4539</v>
      </c>
      <c r="H32" s="30">
        <f>'Прилож №5'!I23</f>
        <v>4539</v>
      </c>
      <c r="I32" s="5"/>
    </row>
    <row r="33" spans="1:9" s="4" customFormat="1" ht="43.5">
      <c r="A33" s="112" t="s">
        <v>335</v>
      </c>
      <c r="B33" s="29" t="s">
        <v>114</v>
      </c>
      <c r="C33" s="84" t="s">
        <v>116</v>
      </c>
      <c r="D33" s="29" t="s">
        <v>334</v>
      </c>
      <c r="E33" s="28"/>
      <c r="F33" s="28"/>
      <c r="G33" s="30">
        <f>G34</f>
        <v>2651</v>
      </c>
      <c r="H33" s="30">
        <f>H34</f>
        <v>2651</v>
      </c>
      <c r="I33" s="5"/>
    </row>
    <row r="34" spans="1:9" s="4" customFormat="1" ht="15.75">
      <c r="A34" s="113" t="s">
        <v>308</v>
      </c>
      <c r="B34" s="29" t="s">
        <v>114</v>
      </c>
      <c r="C34" s="84" t="s">
        <v>116</v>
      </c>
      <c r="D34" s="29" t="s">
        <v>334</v>
      </c>
      <c r="E34" s="28" t="s">
        <v>309</v>
      </c>
      <c r="F34" s="28"/>
      <c r="G34" s="30">
        <f>'Прилож №5'!H25</f>
        <v>2651</v>
      </c>
      <c r="H34" s="30">
        <f>'Прилож №5'!I25</f>
        <v>2651</v>
      </c>
      <c r="I34" s="5"/>
    </row>
    <row r="35" spans="1:9" s="4" customFormat="1" ht="72">
      <c r="A35" s="112" t="s">
        <v>372</v>
      </c>
      <c r="B35" s="29" t="s">
        <v>114</v>
      </c>
      <c r="C35" s="84" t="s">
        <v>116</v>
      </c>
      <c r="D35" s="29" t="s">
        <v>333</v>
      </c>
      <c r="E35" s="28"/>
      <c r="F35" s="28"/>
      <c r="G35" s="30">
        <f>G36</f>
        <v>1900</v>
      </c>
      <c r="H35" s="30">
        <f>H36</f>
        <v>1900</v>
      </c>
      <c r="I35" s="5"/>
    </row>
    <row r="36" spans="1:9" s="4" customFormat="1" ht="15.75">
      <c r="A36" s="113" t="s">
        <v>308</v>
      </c>
      <c r="B36" s="29" t="s">
        <v>114</v>
      </c>
      <c r="C36" s="84" t="s">
        <v>116</v>
      </c>
      <c r="D36" s="29" t="s">
        <v>333</v>
      </c>
      <c r="E36" s="28" t="s">
        <v>309</v>
      </c>
      <c r="F36" s="28"/>
      <c r="G36" s="30">
        <f>'Прилож №5'!H27</f>
        <v>1900</v>
      </c>
      <c r="H36" s="30">
        <f>'Прилож №5'!I27</f>
        <v>1900</v>
      </c>
      <c r="I36" s="5"/>
    </row>
    <row r="37" spans="1:9" s="4" customFormat="1" ht="18.75" customHeight="1">
      <c r="A37" s="162" t="s">
        <v>237</v>
      </c>
      <c r="B37" s="28" t="s">
        <v>114</v>
      </c>
      <c r="C37" s="29" t="s">
        <v>116</v>
      </c>
      <c r="D37" s="29" t="s">
        <v>238</v>
      </c>
      <c r="E37" s="132"/>
      <c r="F37" s="28"/>
      <c r="G37" s="30">
        <f>G38</f>
        <v>183</v>
      </c>
      <c r="H37" s="30"/>
      <c r="I37" s="5"/>
    </row>
    <row r="38" spans="1:9" s="4" customFormat="1" ht="15.75">
      <c r="A38" s="118" t="s">
        <v>94</v>
      </c>
      <c r="B38" s="37" t="s">
        <v>114</v>
      </c>
      <c r="C38" s="29" t="s">
        <v>116</v>
      </c>
      <c r="D38" s="29" t="s">
        <v>238</v>
      </c>
      <c r="E38" s="132" t="s">
        <v>158</v>
      </c>
      <c r="F38" s="28"/>
      <c r="G38" s="30">
        <f>'Прилож №5'!H29</f>
        <v>183</v>
      </c>
      <c r="H38" s="30"/>
      <c r="I38" s="5"/>
    </row>
    <row r="39" spans="1:9" s="4" customFormat="1" ht="15.75">
      <c r="A39" s="15" t="s">
        <v>449</v>
      </c>
      <c r="B39" s="29" t="s">
        <v>114</v>
      </c>
      <c r="C39" s="84" t="s">
        <v>127</v>
      </c>
      <c r="D39" s="29"/>
      <c r="E39" s="28"/>
      <c r="F39" s="58"/>
      <c r="G39" s="30">
        <f aca="true" t="shared" si="1" ref="G39:H41">G40</f>
        <v>141</v>
      </c>
      <c r="H39" s="30">
        <f t="shared" si="1"/>
        <v>141</v>
      </c>
      <c r="I39" s="5"/>
    </row>
    <row r="40" spans="1:9" s="4" customFormat="1" ht="15.75">
      <c r="A40" s="113" t="s">
        <v>229</v>
      </c>
      <c r="B40" s="29" t="s">
        <v>114</v>
      </c>
      <c r="C40" s="84" t="s">
        <v>127</v>
      </c>
      <c r="D40" s="29" t="s">
        <v>230</v>
      </c>
      <c r="E40" s="28"/>
      <c r="F40" s="58"/>
      <c r="G40" s="30">
        <f t="shared" si="1"/>
        <v>141</v>
      </c>
      <c r="H40" s="30">
        <f t="shared" si="1"/>
        <v>141</v>
      </c>
      <c r="I40" s="5"/>
    </row>
    <row r="41" spans="1:9" s="4" customFormat="1" ht="43.5">
      <c r="A41" s="112" t="s">
        <v>450</v>
      </c>
      <c r="B41" s="29" t="s">
        <v>114</v>
      </c>
      <c r="C41" s="84" t="s">
        <v>127</v>
      </c>
      <c r="D41" s="29" t="s">
        <v>451</v>
      </c>
      <c r="E41" s="28"/>
      <c r="F41" s="58"/>
      <c r="G41" s="30">
        <f t="shared" si="1"/>
        <v>141</v>
      </c>
      <c r="H41" s="30">
        <f t="shared" si="1"/>
        <v>141</v>
      </c>
      <c r="I41" s="5"/>
    </row>
    <row r="42" spans="1:9" s="4" customFormat="1" ht="15.75">
      <c r="A42" s="113" t="s">
        <v>308</v>
      </c>
      <c r="B42" s="29" t="s">
        <v>114</v>
      </c>
      <c r="C42" s="84" t="s">
        <v>127</v>
      </c>
      <c r="D42" s="29" t="s">
        <v>451</v>
      </c>
      <c r="E42" s="28" t="s">
        <v>309</v>
      </c>
      <c r="F42" s="58" t="s">
        <v>158</v>
      </c>
      <c r="G42" s="30">
        <f>'Прилож №5'!H33</f>
        <v>141</v>
      </c>
      <c r="H42" s="30">
        <f>'Прилож №5'!I33</f>
        <v>141</v>
      </c>
      <c r="I42" s="5"/>
    </row>
    <row r="43" spans="1:9" s="4" customFormat="1" ht="45">
      <c r="A43" s="24" t="s">
        <v>183</v>
      </c>
      <c r="B43" s="36" t="s">
        <v>114</v>
      </c>
      <c r="C43" s="33" t="s">
        <v>130</v>
      </c>
      <c r="D43" s="33"/>
      <c r="E43" s="155"/>
      <c r="F43" s="32"/>
      <c r="G43" s="34">
        <f>G44+G46</f>
        <v>16720.5</v>
      </c>
      <c r="H43" s="34">
        <f>H44</f>
        <v>0</v>
      </c>
      <c r="I43" s="5"/>
    </row>
    <row r="44" spans="1:9" s="4" customFormat="1" ht="15.75">
      <c r="A44" s="118" t="s">
        <v>37</v>
      </c>
      <c r="B44" s="28" t="s">
        <v>114</v>
      </c>
      <c r="C44" s="29" t="s">
        <v>130</v>
      </c>
      <c r="D44" s="29" t="s">
        <v>159</v>
      </c>
      <c r="E44" s="132"/>
      <c r="F44" s="28"/>
      <c r="G44" s="30">
        <f>G45</f>
        <v>16670.5</v>
      </c>
      <c r="H44" s="30">
        <f>H45</f>
        <v>0</v>
      </c>
      <c r="I44" s="5"/>
    </row>
    <row r="45" spans="1:9" s="4" customFormat="1" ht="15.75">
      <c r="A45" s="118" t="s">
        <v>94</v>
      </c>
      <c r="B45" s="28" t="s">
        <v>114</v>
      </c>
      <c r="C45" s="29" t="s">
        <v>130</v>
      </c>
      <c r="D45" s="29" t="s">
        <v>159</v>
      </c>
      <c r="E45" s="132" t="s">
        <v>158</v>
      </c>
      <c r="F45" s="28"/>
      <c r="G45" s="30">
        <f>'Прилож №5'!H503+'Прилож №5'!H561</f>
        <v>16670.5</v>
      </c>
      <c r="H45" s="30"/>
      <c r="I45" s="5"/>
    </row>
    <row r="46" spans="1:9" s="4" customFormat="1" ht="18.75" customHeight="1">
      <c r="A46" s="179" t="s">
        <v>237</v>
      </c>
      <c r="B46" s="28" t="s">
        <v>114</v>
      </c>
      <c r="C46" s="29" t="s">
        <v>130</v>
      </c>
      <c r="D46" s="49" t="s">
        <v>238</v>
      </c>
      <c r="E46" s="132"/>
      <c r="F46" s="28"/>
      <c r="G46" s="30">
        <f>G47</f>
        <v>50</v>
      </c>
      <c r="H46" s="30"/>
      <c r="I46" s="5"/>
    </row>
    <row r="47" spans="1:9" s="4" customFormat="1" ht="15.75">
      <c r="A47" s="47" t="s">
        <v>94</v>
      </c>
      <c r="B47" s="28" t="s">
        <v>114</v>
      </c>
      <c r="C47" s="29" t="s">
        <v>130</v>
      </c>
      <c r="D47" s="49" t="s">
        <v>238</v>
      </c>
      <c r="E47" s="132" t="s">
        <v>158</v>
      </c>
      <c r="F47" s="28"/>
      <c r="G47" s="30">
        <f>'Прилож №5'!H505</f>
        <v>50</v>
      </c>
      <c r="H47" s="30"/>
      <c r="I47" s="5"/>
    </row>
    <row r="48" spans="1:9" s="4" customFormat="1" ht="15.75">
      <c r="A48" s="35" t="s">
        <v>12</v>
      </c>
      <c r="B48" s="32" t="s">
        <v>114</v>
      </c>
      <c r="C48" s="33" t="s">
        <v>196</v>
      </c>
      <c r="D48" s="59"/>
      <c r="E48" s="155"/>
      <c r="F48" s="32" t="s">
        <v>1</v>
      </c>
      <c r="G48" s="34">
        <f aca="true" t="shared" si="2" ref="G48:H50">G49</f>
        <v>5000</v>
      </c>
      <c r="H48" s="34">
        <f t="shared" si="2"/>
        <v>0</v>
      </c>
      <c r="I48" s="5"/>
    </row>
    <row r="49" spans="1:9" s="4" customFormat="1" ht="15.75">
      <c r="A49" s="119" t="s">
        <v>12</v>
      </c>
      <c r="B49" s="37" t="s">
        <v>114</v>
      </c>
      <c r="C49" s="38" t="s">
        <v>196</v>
      </c>
      <c r="D49" s="38" t="s">
        <v>15</v>
      </c>
      <c r="E49" s="132"/>
      <c r="F49" s="37"/>
      <c r="G49" s="39">
        <f t="shared" si="2"/>
        <v>5000</v>
      </c>
      <c r="H49" s="39">
        <f t="shared" si="2"/>
        <v>0</v>
      </c>
      <c r="I49" s="5"/>
    </row>
    <row r="50" spans="1:9" s="4" customFormat="1" ht="29.25">
      <c r="A50" s="116" t="s">
        <v>97</v>
      </c>
      <c r="B50" s="37" t="s">
        <v>114</v>
      </c>
      <c r="C50" s="38" t="s">
        <v>196</v>
      </c>
      <c r="D50" s="38" t="s">
        <v>98</v>
      </c>
      <c r="E50" s="132"/>
      <c r="F50" s="37"/>
      <c r="G50" s="39">
        <f t="shared" si="2"/>
        <v>5000</v>
      </c>
      <c r="H50" s="39">
        <f t="shared" si="2"/>
        <v>0</v>
      </c>
      <c r="I50" s="5"/>
    </row>
    <row r="51" spans="1:9" s="4" customFormat="1" ht="15.75">
      <c r="A51" s="118" t="s">
        <v>96</v>
      </c>
      <c r="B51" s="28" t="s">
        <v>114</v>
      </c>
      <c r="C51" s="29" t="s">
        <v>196</v>
      </c>
      <c r="D51" s="29" t="s">
        <v>98</v>
      </c>
      <c r="E51" s="132" t="s">
        <v>81</v>
      </c>
      <c r="F51" s="28"/>
      <c r="G51" s="30">
        <f>'Прилож №5'!H37</f>
        <v>5000</v>
      </c>
      <c r="H51" s="30">
        <f>'Прилож №5'!I37</f>
        <v>0</v>
      </c>
      <c r="I51" s="5"/>
    </row>
    <row r="52" spans="1:9" s="4" customFormat="1" ht="15.75">
      <c r="A52" s="35" t="s">
        <v>52</v>
      </c>
      <c r="B52" s="32" t="s">
        <v>114</v>
      </c>
      <c r="C52" s="33" t="s">
        <v>195</v>
      </c>
      <c r="D52" s="33"/>
      <c r="E52" s="155"/>
      <c r="F52" s="32"/>
      <c r="G52" s="34">
        <f>G53+G61+G58</f>
        <v>60945.700000000004</v>
      </c>
      <c r="H52" s="34">
        <f>H53+H61+H58</f>
        <v>0</v>
      </c>
      <c r="I52" s="5"/>
    </row>
    <row r="53" spans="1:9" s="4" customFormat="1" ht="43.5">
      <c r="A53" s="116" t="s">
        <v>161</v>
      </c>
      <c r="B53" s="28" t="s">
        <v>114</v>
      </c>
      <c r="C53" s="29" t="s">
        <v>195</v>
      </c>
      <c r="D53" s="29" t="s">
        <v>157</v>
      </c>
      <c r="E53" s="132"/>
      <c r="F53" s="28"/>
      <c r="G53" s="30">
        <f>G54+G56</f>
        <v>29650.4</v>
      </c>
      <c r="H53" s="30">
        <f>H54</f>
        <v>0</v>
      </c>
      <c r="I53" s="5"/>
    </row>
    <row r="54" spans="1:9" s="4" customFormat="1" ht="15.75">
      <c r="A54" s="47" t="s">
        <v>37</v>
      </c>
      <c r="B54" s="28" t="s">
        <v>114</v>
      </c>
      <c r="C54" s="29" t="s">
        <v>195</v>
      </c>
      <c r="D54" s="29" t="s">
        <v>159</v>
      </c>
      <c r="E54" s="132"/>
      <c r="F54" s="28"/>
      <c r="G54" s="30">
        <f>G55</f>
        <v>29575.4</v>
      </c>
      <c r="H54" s="30">
        <f>H55</f>
        <v>0</v>
      </c>
      <c r="I54" s="5"/>
    </row>
    <row r="55" spans="1:9" s="4" customFormat="1" ht="15.75">
      <c r="A55" s="118" t="s">
        <v>94</v>
      </c>
      <c r="B55" s="28" t="s">
        <v>114</v>
      </c>
      <c r="C55" s="29" t="s">
        <v>195</v>
      </c>
      <c r="D55" s="29" t="s">
        <v>159</v>
      </c>
      <c r="E55" s="132" t="s">
        <v>158</v>
      </c>
      <c r="F55" s="28"/>
      <c r="G55" s="30">
        <f>'Прилож №5'!H515+'Прилож №5'!H473</f>
        <v>29575.4</v>
      </c>
      <c r="H55" s="30">
        <f>'Прилож №5'!I515+'Прилож №5'!I473</f>
        <v>0</v>
      </c>
      <c r="I55" s="5"/>
    </row>
    <row r="56" spans="1:9" s="4" customFormat="1" ht="18.75" customHeight="1">
      <c r="A56" s="162" t="s">
        <v>237</v>
      </c>
      <c r="B56" s="28" t="s">
        <v>114</v>
      </c>
      <c r="C56" s="29" t="s">
        <v>195</v>
      </c>
      <c r="D56" s="29" t="s">
        <v>238</v>
      </c>
      <c r="E56" s="132"/>
      <c r="F56" s="28"/>
      <c r="G56" s="30">
        <f>G57</f>
        <v>75</v>
      </c>
      <c r="H56" s="30"/>
      <c r="I56" s="5"/>
    </row>
    <row r="57" spans="1:9" s="4" customFormat="1" ht="15.75">
      <c r="A57" s="118" t="s">
        <v>94</v>
      </c>
      <c r="B57" s="28" t="s">
        <v>114</v>
      </c>
      <c r="C57" s="29" t="s">
        <v>195</v>
      </c>
      <c r="D57" s="29" t="s">
        <v>238</v>
      </c>
      <c r="E57" s="132" t="s">
        <v>158</v>
      </c>
      <c r="F57" s="28"/>
      <c r="G57" s="30">
        <f>'Прилож №5'!H517+'Прилож №5'!H475</f>
        <v>75</v>
      </c>
      <c r="H57" s="30"/>
      <c r="I57" s="5"/>
    </row>
    <row r="58" spans="1:9" s="4" customFormat="1" ht="29.25">
      <c r="A58" s="116" t="s">
        <v>129</v>
      </c>
      <c r="B58" s="29" t="s">
        <v>114</v>
      </c>
      <c r="C58" s="28" t="s">
        <v>195</v>
      </c>
      <c r="D58" s="29" t="s">
        <v>87</v>
      </c>
      <c r="E58" s="28"/>
      <c r="F58" s="58"/>
      <c r="G58" s="30">
        <f>G59</f>
        <v>5325</v>
      </c>
      <c r="H58" s="30"/>
      <c r="I58" s="5"/>
    </row>
    <row r="59" spans="1:9" s="4" customFormat="1" ht="15.75">
      <c r="A59" s="119" t="s">
        <v>49</v>
      </c>
      <c r="B59" s="29" t="s">
        <v>114</v>
      </c>
      <c r="C59" s="28" t="s">
        <v>195</v>
      </c>
      <c r="D59" s="29" t="s">
        <v>128</v>
      </c>
      <c r="E59" s="28"/>
      <c r="F59" s="58"/>
      <c r="G59" s="30">
        <f>G60</f>
        <v>5325</v>
      </c>
      <c r="H59" s="30"/>
      <c r="I59" s="5"/>
    </row>
    <row r="60" spans="1:9" s="4" customFormat="1" ht="15.75">
      <c r="A60" s="47" t="s">
        <v>94</v>
      </c>
      <c r="B60" s="38" t="s">
        <v>114</v>
      </c>
      <c r="C60" s="37" t="s">
        <v>195</v>
      </c>
      <c r="D60" s="38" t="s">
        <v>128</v>
      </c>
      <c r="E60" s="37" t="s">
        <v>158</v>
      </c>
      <c r="F60" s="69" t="s">
        <v>158</v>
      </c>
      <c r="G60" s="30">
        <f>'Прилож №5'!H520+'Прилож №5'!H40</f>
        <v>5325</v>
      </c>
      <c r="H60" s="30"/>
      <c r="I60" s="5"/>
    </row>
    <row r="61" spans="1:9" s="4" customFormat="1" ht="15.75">
      <c r="A61" s="109" t="s">
        <v>83</v>
      </c>
      <c r="B61" s="38" t="s">
        <v>114</v>
      </c>
      <c r="C61" s="37" t="s">
        <v>195</v>
      </c>
      <c r="D61" s="38" t="s">
        <v>84</v>
      </c>
      <c r="E61" s="132"/>
      <c r="F61" s="56"/>
      <c r="G61" s="30">
        <f>G63+G65</f>
        <v>25970.300000000003</v>
      </c>
      <c r="H61" s="30">
        <f>H63+H65</f>
        <v>0</v>
      </c>
      <c r="I61" s="7"/>
    </row>
    <row r="62" spans="1:9" s="4" customFormat="1" ht="43.5">
      <c r="A62" s="111" t="s">
        <v>208</v>
      </c>
      <c r="B62" s="29" t="s">
        <v>114</v>
      </c>
      <c r="C62" s="28" t="s">
        <v>195</v>
      </c>
      <c r="D62" s="38" t="s">
        <v>136</v>
      </c>
      <c r="E62" s="132"/>
      <c r="F62" s="56"/>
      <c r="G62" s="30">
        <f>G63</f>
        <v>18830.300000000003</v>
      </c>
      <c r="H62" s="30">
        <f>H63</f>
        <v>0</v>
      </c>
      <c r="I62" s="7"/>
    </row>
    <row r="63" spans="1:9" s="4" customFormat="1" ht="15.75">
      <c r="A63" s="109" t="s">
        <v>94</v>
      </c>
      <c r="B63" s="29" t="s">
        <v>114</v>
      </c>
      <c r="C63" s="28" t="s">
        <v>195</v>
      </c>
      <c r="D63" s="38" t="s">
        <v>136</v>
      </c>
      <c r="E63" s="157" t="s">
        <v>158</v>
      </c>
      <c r="F63" s="56" t="s">
        <v>158</v>
      </c>
      <c r="G63" s="30">
        <f>'Прилож №5'!H43+'Прилож №5'!H509+'Прилож №5'!H523+'Прилож №5'!H467+'Прилож №5'!H478+'Прилож №5'!H566</f>
        <v>18830.300000000003</v>
      </c>
      <c r="H63" s="30">
        <f>'Прилож №5'!I43+'Прилож №5'!I509+'Прилож №5'!I523+'Прилож №5'!I467+'Прилож №5'!I478</f>
        <v>0</v>
      </c>
      <c r="I63" s="7"/>
    </row>
    <row r="64" spans="1:9" s="4" customFormat="1" ht="85.5">
      <c r="A64" s="220" t="s">
        <v>209</v>
      </c>
      <c r="B64" s="29" t="s">
        <v>114</v>
      </c>
      <c r="C64" s="28" t="s">
        <v>195</v>
      </c>
      <c r="D64" s="38" t="s">
        <v>210</v>
      </c>
      <c r="E64" s="132"/>
      <c r="F64" s="56"/>
      <c r="G64" s="30">
        <f>G65</f>
        <v>7140</v>
      </c>
      <c r="H64" s="30">
        <f>H65</f>
        <v>0</v>
      </c>
      <c r="I64" s="7"/>
    </row>
    <row r="65" spans="1:9" s="4" customFormat="1" ht="16.5" thickBot="1">
      <c r="A65" s="110" t="s">
        <v>94</v>
      </c>
      <c r="B65" s="38" t="s">
        <v>114</v>
      </c>
      <c r="C65" s="37" t="s">
        <v>195</v>
      </c>
      <c r="D65" s="38" t="s">
        <v>210</v>
      </c>
      <c r="E65" s="187" t="s">
        <v>158</v>
      </c>
      <c r="F65" s="158" t="s">
        <v>158</v>
      </c>
      <c r="G65" s="39">
        <f>'Прилож №5'!H45+'Прилож №5'!H480</f>
        <v>7140</v>
      </c>
      <c r="H65" s="39">
        <f>'Прилож №5'!I45</f>
        <v>0</v>
      </c>
      <c r="I65" s="7"/>
    </row>
    <row r="66" spans="1:9" s="4" customFormat="1" ht="16.5" thickBot="1">
      <c r="A66" s="51" t="s">
        <v>53</v>
      </c>
      <c r="B66" s="22" t="s">
        <v>115</v>
      </c>
      <c r="C66" s="22"/>
      <c r="D66" s="20"/>
      <c r="E66" s="22"/>
      <c r="F66" s="20"/>
      <c r="G66" s="120">
        <f>G71+G67</f>
        <v>4519</v>
      </c>
      <c r="H66" s="23">
        <f>H71+H67</f>
        <v>4096</v>
      </c>
      <c r="I66" s="5"/>
    </row>
    <row r="67" spans="1:9" s="4" customFormat="1" ht="15.75">
      <c r="A67" s="113" t="s">
        <v>373</v>
      </c>
      <c r="B67" s="49" t="s">
        <v>115</v>
      </c>
      <c r="C67" s="49" t="s">
        <v>119</v>
      </c>
      <c r="D67" s="48"/>
      <c r="E67" s="59"/>
      <c r="F67" s="264"/>
      <c r="G67" s="255">
        <f aca="true" t="shared" si="3" ref="G67:H69">G68</f>
        <v>4096</v>
      </c>
      <c r="H67" s="50">
        <f t="shared" si="3"/>
        <v>4096</v>
      </c>
      <c r="I67" s="5"/>
    </row>
    <row r="68" spans="1:9" s="4" customFormat="1" ht="15.75">
      <c r="A68" s="111" t="s">
        <v>229</v>
      </c>
      <c r="B68" s="29" t="s">
        <v>115</v>
      </c>
      <c r="C68" s="29" t="s">
        <v>119</v>
      </c>
      <c r="D68" s="28" t="s">
        <v>230</v>
      </c>
      <c r="E68" s="33"/>
      <c r="F68" s="262"/>
      <c r="G68" s="256">
        <f t="shared" si="3"/>
        <v>4096</v>
      </c>
      <c r="H68" s="30">
        <f t="shared" si="3"/>
        <v>4096</v>
      </c>
      <c r="I68" s="5"/>
    </row>
    <row r="69" spans="1:9" s="4" customFormat="1" ht="29.25">
      <c r="A69" s="111" t="s">
        <v>236</v>
      </c>
      <c r="B69" s="29" t="s">
        <v>115</v>
      </c>
      <c r="C69" s="29" t="s">
        <v>119</v>
      </c>
      <c r="D69" s="28" t="s">
        <v>235</v>
      </c>
      <c r="E69" s="33"/>
      <c r="F69" s="262"/>
      <c r="G69" s="256">
        <f t="shared" si="3"/>
        <v>4096</v>
      </c>
      <c r="H69" s="30">
        <f t="shared" si="3"/>
        <v>4096</v>
      </c>
      <c r="I69" s="5"/>
    </row>
    <row r="70" spans="1:9" s="4" customFormat="1" ht="15.75">
      <c r="A70" s="113" t="s">
        <v>308</v>
      </c>
      <c r="B70" s="29" t="s">
        <v>115</v>
      </c>
      <c r="C70" s="29" t="s">
        <v>119</v>
      </c>
      <c r="D70" s="28" t="s">
        <v>235</v>
      </c>
      <c r="E70" s="29" t="s">
        <v>309</v>
      </c>
      <c r="F70" s="262"/>
      <c r="G70" s="256">
        <f>'Прилож №5'!H50</f>
        <v>4096</v>
      </c>
      <c r="H70" s="30">
        <v>4096</v>
      </c>
      <c r="I70" s="5"/>
    </row>
    <row r="71" spans="1:9" s="4" customFormat="1" ht="15.75">
      <c r="A71" s="15" t="s">
        <v>54</v>
      </c>
      <c r="B71" s="59" t="s">
        <v>115</v>
      </c>
      <c r="C71" s="59" t="s">
        <v>116</v>
      </c>
      <c r="D71" s="36"/>
      <c r="E71" s="59"/>
      <c r="F71" s="36"/>
      <c r="G71" s="263">
        <f aca="true" t="shared" si="4" ref="G71:H73">G72</f>
        <v>423</v>
      </c>
      <c r="H71" s="61">
        <f t="shared" si="4"/>
        <v>0</v>
      </c>
      <c r="I71" s="5"/>
    </row>
    <row r="72" spans="1:9" s="4" customFormat="1" ht="29.25">
      <c r="A72" s="111" t="s">
        <v>69</v>
      </c>
      <c r="B72" s="29" t="s">
        <v>115</v>
      </c>
      <c r="C72" s="29" t="s">
        <v>116</v>
      </c>
      <c r="D72" s="28" t="s">
        <v>55</v>
      </c>
      <c r="E72" s="29"/>
      <c r="F72" s="28"/>
      <c r="G72" s="122">
        <f t="shared" si="4"/>
        <v>423</v>
      </c>
      <c r="H72" s="30">
        <f t="shared" si="4"/>
        <v>0</v>
      </c>
      <c r="I72" s="5"/>
    </row>
    <row r="73" spans="1:9" s="4" customFormat="1" ht="30.75" customHeight="1">
      <c r="A73" s="111" t="s">
        <v>70</v>
      </c>
      <c r="B73" s="29" t="s">
        <v>115</v>
      </c>
      <c r="C73" s="29" t="s">
        <v>116</v>
      </c>
      <c r="D73" s="28" t="s">
        <v>99</v>
      </c>
      <c r="E73" s="29"/>
      <c r="F73" s="43"/>
      <c r="G73" s="166">
        <f t="shared" si="4"/>
        <v>423</v>
      </c>
      <c r="H73" s="39">
        <f t="shared" si="4"/>
        <v>0</v>
      </c>
      <c r="I73" s="5"/>
    </row>
    <row r="74" spans="1:9" s="4" customFormat="1" ht="15" customHeight="1" thickBot="1">
      <c r="A74" s="113" t="s">
        <v>94</v>
      </c>
      <c r="B74" s="41" t="s">
        <v>115</v>
      </c>
      <c r="C74" s="41" t="s">
        <v>116</v>
      </c>
      <c r="D74" s="37" t="s">
        <v>99</v>
      </c>
      <c r="E74" s="41" t="s">
        <v>158</v>
      </c>
      <c r="F74" s="43"/>
      <c r="G74" s="166">
        <f>'Прилож №5'!H54</f>
        <v>423</v>
      </c>
      <c r="H74" s="42">
        <f>'Прилож №5'!I54</f>
        <v>0</v>
      </c>
      <c r="I74" s="5"/>
    </row>
    <row r="75" spans="1:9" s="13" customFormat="1" ht="32.25" customHeight="1" thickBot="1">
      <c r="A75" s="104" t="s">
        <v>76</v>
      </c>
      <c r="B75" s="44" t="s">
        <v>119</v>
      </c>
      <c r="C75" s="44"/>
      <c r="D75" s="44"/>
      <c r="E75" s="214"/>
      <c r="F75" s="45" t="s">
        <v>2</v>
      </c>
      <c r="G75" s="46">
        <f>G76+G80</f>
        <v>6578</v>
      </c>
      <c r="H75" s="46">
        <f>H76+H80</f>
        <v>0</v>
      </c>
      <c r="I75" s="7"/>
    </row>
    <row r="76" spans="1:9" s="4" customFormat="1" ht="36.75" customHeight="1">
      <c r="A76" s="71" t="s">
        <v>101</v>
      </c>
      <c r="B76" s="33" t="s">
        <v>119</v>
      </c>
      <c r="C76" s="33" t="s">
        <v>120</v>
      </c>
      <c r="D76" s="33"/>
      <c r="E76" s="215"/>
      <c r="F76" s="32"/>
      <c r="G76" s="34">
        <f>G79</f>
        <v>1954</v>
      </c>
      <c r="H76" s="34">
        <f>H79</f>
        <v>0</v>
      </c>
      <c r="I76" s="5"/>
    </row>
    <row r="77" spans="1:9" s="4" customFormat="1" ht="27" customHeight="1">
      <c r="A77" s="112" t="s">
        <v>88</v>
      </c>
      <c r="B77" s="49" t="s">
        <v>119</v>
      </c>
      <c r="C77" s="49" t="s">
        <v>120</v>
      </c>
      <c r="D77" s="49" t="s">
        <v>89</v>
      </c>
      <c r="E77" s="132"/>
      <c r="F77" s="48"/>
      <c r="G77" s="50">
        <f>G78</f>
        <v>1954</v>
      </c>
      <c r="H77" s="50">
        <f>H78</f>
        <v>0</v>
      </c>
      <c r="I77" s="5"/>
    </row>
    <row r="78" spans="1:9" s="4" customFormat="1" ht="51" customHeight="1">
      <c r="A78" s="112" t="s">
        <v>90</v>
      </c>
      <c r="B78" s="49" t="s">
        <v>119</v>
      </c>
      <c r="C78" s="49" t="s">
        <v>120</v>
      </c>
      <c r="D78" s="49" t="s">
        <v>102</v>
      </c>
      <c r="E78" s="132"/>
      <c r="F78" s="48"/>
      <c r="G78" s="50">
        <f>G79</f>
        <v>1954</v>
      </c>
      <c r="H78" s="50">
        <f>H79</f>
        <v>0</v>
      </c>
      <c r="I78" s="5"/>
    </row>
    <row r="79" spans="1:9" s="4" customFormat="1" ht="18" customHeight="1">
      <c r="A79" s="109" t="s">
        <v>94</v>
      </c>
      <c r="B79" s="29" t="s">
        <v>119</v>
      </c>
      <c r="C79" s="29" t="s">
        <v>120</v>
      </c>
      <c r="D79" s="29" t="s">
        <v>102</v>
      </c>
      <c r="E79" s="132" t="s">
        <v>158</v>
      </c>
      <c r="F79" s="28"/>
      <c r="G79" s="30">
        <f>'Прилож №5'!H59</f>
        <v>1954</v>
      </c>
      <c r="H79" s="30">
        <f>'Прилож №5'!I59</f>
        <v>0</v>
      </c>
      <c r="I79" s="5"/>
    </row>
    <row r="80" spans="1:9" s="4" customFormat="1" ht="30">
      <c r="A80" s="71" t="s">
        <v>71</v>
      </c>
      <c r="B80" s="33" t="s">
        <v>119</v>
      </c>
      <c r="C80" s="33" t="s">
        <v>118</v>
      </c>
      <c r="D80" s="33"/>
      <c r="E80" s="155"/>
      <c r="F80" s="32"/>
      <c r="G80" s="34">
        <f>G82+G85</f>
        <v>4624</v>
      </c>
      <c r="H80" s="34">
        <f>H81</f>
        <v>0</v>
      </c>
      <c r="I80" s="5"/>
    </row>
    <row r="81" spans="1:9" s="4" customFormat="1" ht="13.5" customHeight="1">
      <c r="A81" s="110" t="s">
        <v>83</v>
      </c>
      <c r="B81" s="29" t="s">
        <v>119</v>
      </c>
      <c r="C81" s="29" t="s">
        <v>118</v>
      </c>
      <c r="D81" s="29" t="s">
        <v>84</v>
      </c>
      <c r="E81" s="132"/>
      <c r="F81" s="28"/>
      <c r="G81" s="30">
        <f>G84+G86</f>
        <v>4074</v>
      </c>
      <c r="H81" s="30">
        <f>H82</f>
        <v>0</v>
      </c>
      <c r="I81" s="7"/>
    </row>
    <row r="82" spans="1:9" s="4" customFormat="1" ht="48" customHeight="1">
      <c r="A82" s="211" t="s">
        <v>252</v>
      </c>
      <c r="B82" s="29" t="s">
        <v>119</v>
      </c>
      <c r="C82" s="132" t="s">
        <v>118</v>
      </c>
      <c r="D82" s="38" t="s">
        <v>150</v>
      </c>
      <c r="E82" s="132"/>
      <c r="F82" s="28"/>
      <c r="G82" s="50">
        <f>G83+G84</f>
        <v>2612</v>
      </c>
      <c r="H82" s="193">
        <f>'Прилож №5'!I62</f>
        <v>0</v>
      </c>
      <c r="I82" s="7"/>
    </row>
    <row r="83" spans="1:9" s="4" customFormat="1" ht="18" customHeight="1">
      <c r="A83" s="109" t="s">
        <v>155</v>
      </c>
      <c r="B83" s="38" t="s">
        <v>119</v>
      </c>
      <c r="C83" s="37" t="s">
        <v>118</v>
      </c>
      <c r="D83" s="38" t="s">
        <v>150</v>
      </c>
      <c r="E83" s="157" t="s">
        <v>156</v>
      </c>
      <c r="F83" s="37"/>
      <c r="G83" s="68">
        <f>'Прилож №5'!H262</f>
        <v>550</v>
      </c>
      <c r="H83" s="196"/>
      <c r="I83" s="7"/>
    </row>
    <row r="84" spans="1:9" s="4" customFormat="1" ht="14.25" customHeight="1">
      <c r="A84" s="109" t="s">
        <v>94</v>
      </c>
      <c r="B84" s="38" t="s">
        <v>119</v>
      </c>
      <c r="C84" s="37" t="s">
        <v>118</v>
      </c>
      <c r="D84" s="38" t="s">
        <v>150</v>
      </c>
      <c r="E84" s="157" t="s">
        <v>158</v>
      </c>
      <c r="F84" s="37"/>
      <c r="G84" s="39">
        <f>'Прилож №5'!H63+'Прилож №5'!H485</f>
        <v>2062</v>
      </c>
      <c r="H84" s="196"/>
      <c r="I84" s="7"/>
    </row>
    <row r="85" spans="1:9" s="4" customFormat="1" ht="45" customHeight="1">
      <c r="A85" s="116" t="s">
        <v>261</v>
      </c>
      <c r="B85" s="38" t="s">
        <v>119</v>
      </c>
      <c r="C85" s="37" t="s">
        <v>118</v>
      </c>
      <c r="D85" s="38" t="s">
        <v>207</v>
      </c>
      <c r="E85" s="157"/>
      <c r="F85" s="37"/>
      <c r="G85" s="39">
        <f>G86</f>
        <v>2012</v>
      </c>
      <c r="H85" s="196"/>
      <c r="I85" s="7"/>
    </row>
    <row r="86" spans="1:9" s="4" customFormat="1" ht="15" customHeight="1" thickBot="1">
      <c r="A86" s="213" t="s">
        <v>94</v>
      </c>
      <c r="B86" s="41" t="s">
        <v>119</v>
      </c>
      <c r="C86" s="40" t="s">
        <v>118</v>
      </c>
      <c r="D86" s="41" t="s">
        <v>207</v>
      </c>
      <c r="E86" s="187" t="s">
        <v>158</v>
      </c>
      <c r="F86" s="40"/>
      <c r="G86" s="42">
        <f>'Прилож №5'!H65</f>
        <v>2012</v>
      </c>
      <c r="H86" s="221">
        <f>'Прилож №5'!I65</f>
        <v>0</v>
      </c>
      <c r="I86" s="7"/>
    </row>
    <row r="87" spans="1:9" s="4" customFormat="1" ht="16.5" thickBot="1">
      <c r="A87" s="212" t="s">
        <v>42</v>
      </c>
      <c r="B87" s="202" t="s">
        <v>116</v>
      </c>
      <c r="C87" s="202"/>
      <c r="D87" s="202"/>
      <c r="E87" s="195"/>
      <c r="F87" s="205"/>
      <c r="G87" s="203">
        <f>G88+G93+G104</f>
        <v>141899.6</v>
      </c>
      <c r="H87" s="203">
        <f>H88+H93+H104</f>
        <v>41400</v>
      </c>
      <c r="I87" s="5"/>
    </row>
    <row r="88" spans="1:9" s="2" customFormat="1" ht="15.75" customHeight="1">
      <c r="A88" s="53" t="s">
        <v>65</v>
      </c>
      <c r="B88" s="33" t="s">
        <v>116</v>
      </c>
      <c r="C88" s="85" t="s">
        <v>123</v>
      </c>
      <c r="D88" s="26"/>
      <c r="E88" s="156"/>
      <c r="F88" s="32"/>
      <c r="G88" s="34">
        <f>G89</f>
        <v>15500</v>
      </c>
      <c r="H88" s="34">
        <f>H89</f>
        <v>0</v>
      </c>
      <c r="I88" s="8"/>
    </row>
    <row r="89" spans="1:9" s="1" customFormat="1" ht="15.75" customHeight="1">
      <c r="A89" s="109" t="s">
        <v>104</v>
      </c>
      <c r="B89" s="29" t="s">
        <v>116</v>
      </c>
      <c r="C89" s="84" t="s">
        <v>123</v>
      </c>
      <c r="D89" s="29" t="s">
        <v>105</v>
      </c>
      <c r="E89" s="132"/>
      <c r="F89" s="28"/>
      <c r="G89" s="30">
        <f aca="true" t="shared" si="5" ref="G89:H91">G90</f>
        <v>15500</v>
      </c>
      <c r="H89" s="30">
        <f t="shared" si="5"/>
        <v>0</v>
      </c>
      <c r="I89" s="5"/>
    </row>
    <row r="90" spans="1:9" s="1" customFormat="1" ht="15.75" customHeight="1">
      <c r="A90" s="109" t="s">
        <v>106</v>
      </c>
      <c r="B90" s="29" t="s">
        <v>116</v>
      </c>
      <c r="C90" s="84" t="s">
        <v>123</v>
      </c>
      <c r="D90" s="29" t="s">
        <v>107</v>
      </c>
      <c r="E90" s="132"/>
      <c r="F90" s="28"/>
      <c r="G90" s="30">
        <f t="shared" si="5"/>
        <v>15500</v>
      </c>
      <c r="H90" s="30">
        <f t="shared" si="5"/>
        <v>0</v>
      </c>
      <c r="I90" s="5"/>
    </row>
    <row r="91" spans="1:9" s="1" customFormat="1" ht="41.25" customHeight="1">
      <c r="A91" s="111" t="s">
        <v>108</v>
      </c>
      <c r="B91" s="29" t="s">
        <v>116</v>
      </c>
      <c r="C91" s="84" t="s">
        <v>123</v>
      </c>
      <c r="D91" s="29" t="s">
        <v>109</v>
      </c>
      <c r="E91" s="132"/>
      <c r="F91" s="28"/>
      <c r="G91" s="30">
        <f t="shared" si="5"/>
        <v>15500</v>
      </c>
      <c r="H91" s="30">
        <f t="shared" si="5"/>
        <v>0</v>
      </c>
      <c r="I91" s="5"/>
    </row>
    <row r="92" spans="1:9" s="1" customFormat="1" ht="15.75" customHeight="1">
      <c r="A92" s="118" t="s">
        <v>94</v>
      </c>
      <c r="B92" s="29" t="s">
        <v>116</v>
      </c>
      <c r="C92" s="84" t="s">
        <v>123</v>
      </c>
      <c r="D92" s="29" t="s">
        <v>109</v>
      </c>
      <c r="E92" s="132" t="s">
        <v>158</v>
      </c>
      <c r="F92" s="28"/>
      <c r="G92" s="30">
        <f>'Прилож №5'!H71</f>
        <v>15500</v>
      </c>
      <c r="H92" s="30">
        <f>'Прилож №5'!I71</f>
        <v>0</v>
      </c>
      <c r="I92" s="5"/>
    </row>
    <row r="93" spans="1:9" s="2" customFormat="1" ht="15.75" customHeight="1">
      <c r="A93" s="15" t="s">
        <v>66</v>
      </c>
      <c r="B93" s="33" t="s">
        <v>116</v>
      </c>
      <c r="C93" s="85" t="s">
        <v>120</v>
      </c>
      <c r="D93" s="33"/>
      <c r="E93" s="155"/>
      <c r="F93" s="32"/>
      <c r="G93" s="34">
        <f>G94+G98</f>
        <v>62145</v>
      </c>
      <c r="H93" s="34">
        <f>H94+H98</f>
        <v>40000</v>
      </c>
      <c r="I93" s="5"/>
    </row>
    <row r="94" spans="1:9" s="1" customFormat="1" ht="15.75" customHeight="1">
      <c r="A94" s="113" t="s">
        <v>66</v>
      </c>
      <c r="B94" s="29" t="s">
        <v>116</v>
      </c>
      <c r="C94" s="84" t="s">
        <v>120</v>
      </c>
      <c r="D94" s="29" t="s">
        <v>124</v>
      </c>
      <c r="E94" s="132"/>
      <c r="F94" s="28"/>
      <c r="G94" s="30">
        <f>G95</f>
        <v>22145</v>
      </c>
      <c r="H94" s="30">
        <f>H95</f>
        <v>0</v>
      </c>
      <c r="I94" s="5"/>
    </row>
    <row r="95" spans="1:9" s="1" customFormat="1" ht="15.75" customHeight="1">
      <c r="A95" s="113" t="s">
        <v>125</v>
      </c>
      <c r="B95" s="29" t="s">
        <v>116</v>
      </c>
      <c r="C95" s="84" t="s">
        <v>120</v>
      </c>
      <c r="D95" s="29" t="s">
        <v>126</v>
      </c>
      <c r="E95" s="132"/>
      <c r="F95" s="28"/>
      <c r="G95" s="30">
        <f>G96</f>
        <v>22145</v>
      </c>
      <c r="H95" s="30">
        <f>H97</f>
        <v>0</v>
      </c>
      <c r="I95" s="5"/>
    </row>
    <row r="96" spans="1:9" s="1" customFormat="1" ht="15.75" customHeight="1">
      <c r="A96" s="113" t="s">
        <v>167</v>
      </c>
      <c r="B96" s="29" t="s">
        <v>116</v>
      </c>
      <c r="C96" s="84" t="s">
        <v>120</v>
      </c>
      <c r="D96" s="29" t="s">
        <v>168</v>
      </c>
      <c r="E96" s="132"/>
      <c r="F96" s="28"/>
      <c r="G96" s="30">
        <f>G97</f>
        <v>22145</v>
      </c>
      <c r="H96" s="30">
        <f>H97</f>
        <v>0</v>
      </c>
      <c r="I96" s="5"/>
    </row>
    <row r="97" spans="1:9" s="1" customFormat="1" ht="15.75" customHeight="1">
      <c r="A97" s="118" t="s">
        <v>94</v>
      </c>
      <c r="B97" s="29" t="s">
        <v>116</v>
      </c>
      <c r="C97" s="84" t="s">
        <v>120</v>
      </c>
      <c r="D97" s="29" t="s">
        <v>168</v>
      </c>
      <c r="E97" s="132" t="s">
        <v>158</v>
      </c>
      <c r="F97" s="28"/>
      <c r="G97" s="30">
        <f>'Прилож №5'!H76</f>
        <v>22145</v>
      </c>
      <c r="H97" s="30">
        <f>'Прилож №5'!I76</f>
        <v>0</v>
      </c>
      <c r="I97" s="5"/>
    </row>
    <row r="98" spans="1:9" s="1" customFormat="1" ht="18.75" customHeight="1">
      <c r="A98" s="113" t="s">
        <v>228</v>
      </c>
      <c r="B98" s="29" t="s">
        <v>116</v>
      </c>
      <c r="C98" s="84" t="s">
        <v>120</v>
      </c>
      <c r="D98" s="29" t="s">
        <v>227</v>
      </c>
      <c r="E98" s="132"/>
      <c r="F98" s="28"/>
      <c r="G98" s="30">
        <f>G99</f>
        <v>40000</v>
      </c>
      <c r="H98" s="30">
        <f>H99</f>
        <v>40000</v>
      </c>
      <c r="I98" s="5"/>
    </row>
    <row r="99" spans="1:9" s="1" customFormat="1" ht="30.75" customHeight="1">
      <c r="A99" s="112" t="s">
        <v>381</v>
      </c>
      <c r="B99" s="29" t="s">
        <v>116</v>
      </c>
      <c r="C99" s="84" t="s">
        <v>120</v>
      </c>
      <c r="D99" s="29" t="s">
        <v>380</v>
      </c>
      <c r="E99" s="132"/>
      <c r="F99" s="28"/>
      <c r="G99" s="30">
        <f>G101+G103</f>
        <v>40000</v>
      </c>
      <c r="H99" s="30">
        <f>H101+H103</f>
        <v>40000</v>
      </c>
      <c r="I99" s="5"/>
    </row>
    <row r="100" spans="1:9" s="1" customFormat="1" ht="34.5" customHeight="1">
      <c r="A100" s="326" t="s">
        <v>418</v>
      </c>
      <c r="B100" s="29" t="s">
        <v>116</v>
      </c>
      <c r="C100" s="84" t="s">
        <v>120</v>
      </c>
      <c r="D100" s="29" t="s">
        <v>415</v>
      </c>
      <c r="E100" s="132"/>
      <c r="F100" s="28"/>
      <c r="G100" s="30">
        <f>G101</f>
        <v>20000</v>
      </c>
      <c r="H100" s="30">
        <f>H101</f>
        <v>20000</v>
      </c>
      <c r="I100" s="5"/>
    </row>
    <row r="101" spans="1:9" s="1" customFormat="1" ht="18" customHeight="1">
      <c r="A101" s="289" t="s">
        <v>326</v>
      </c>
      <c r="B101" s="29" t="s">
        <v>116</v>
      </c>
      <c r="C101" s="84" t="s">
        <v>120</v>
      </c>
      <c r="D101" s="29" t="s">
        <v>415</v>
      </c>
      <c r="E101" s="132" t="s">
        <v>325</v>
      </c>
      <c r="F101" s="28"/>
      <c r="G101" s="30">
        <f>'Прилож №5'!H80</f>
        <v>20000</v>
      </c>
      <c r="H101" s="30">
        <f>'Прилож №5'!I80</f>
        <v>20000</v>
      </c>
      <c r="I101" s="5"/>
    </row>
    <row r="102" spans="1:9" s="1" customFormat="1" ht="61.5" customHeight="1">
      <c r="A102" s="326" t="s">
        <v>417</v>
      </c>
      <c r="B102" s="29" t="s">
        <v>116</v>
      </c>
      <c r="C102" s="84" t="s">
        <v>120</v>
      </c>
      <c r="D102" s="29" t="s">
        <v>416</v>
      </c>
      <c r="E102" s="132"/>
      <c r="F102" s="28"/>
      <c r="G102" s="30">
        <f>G103</f>
        <v>20000</v>
      </c>
      <c r="H102" s="30">
        <f>H103</f>
        <v>20000</v>
      </c>
      <c r="I102" s="5"/>
    </row>
    <row r="103" spans="1:9" s="1" customFormat="1" ht="18" customHeight="1">
      <c r="A103" s="289" t="s">
        <v>326</v>
      </c>
      <c r="B103" s="29" t="s">
        <v>116</v>
      </c>
      <c r="C103" s="84" t="s">
        <v>120</v>
      </c>
      <c r="D103" s="29" t="s">
        <v>416</v>
      </c>
      <c r="E103" s="132" t="s">
        <v>325</v>
      </c>
      <c r="F103" s="28"/>
      <c r="G103" s="30">
        <f>'Прилож №5'!H82</f>
        <v>20000</v>
      </c>
      <c r="H103" s="30">
        <f>'Прилож №5'!I82</f>
        <v>20000</v>
      </c>
      <c r="I103" s="5"/>
    </row>
    <row r="104" spans="1:9" s="3" customFormat="1" ht="15.75">
      <c r="A104" s="15" t="s">
        <v>43</v>
      </c>
      <c r="B104" s="33" t="s">
        <v>116</v>
      </c>
      <c r="C104" s="85" t="s">
        <v>117</v>
      </c>
      <c r="D104" s="33"/>
      <c r="E104" s="155"/>
      <c r="F104" s="32"/>
      <c r="G104" s="34">
        <f>G114+G105+G108+G111</f>
        <v>64254.6</v>
      </c>
      <c r="H104" s="34">
        <f>H114+H105+H108+H111</f>
        <v>1400</v>
      </c>
      <c r="I104" s="5"/>
    </row>
    <row r="105" spans="1:9" s="3" customFormat="1" ht="29.25">
      <c r="A105" s="111" t="s">
        <v>69</v>
      </c>
      <c r="B105" s="49" t="s">
        <v>116</v>
      </c>
      <c r="C105" s="48" t="s">
        <v>117</v>
      </c>
      <c r="D105" s="29" t="s">
        <v>87</v>
      </c>
      <c r="E105" s="132"/>
      <c r="F105" s="94"/>
      <c r="G105" s="30">
        <f>G106</f>
        <v>59858.9</v>
      </c>
      <c r="H105" s="30">
        <f>H106</f>
        <v>0</v>
      </c>
      <c r="I105" s="5"/>
    </row>
    <row r="106" spans="1:9" s="3" customFormat="1" ht="15.75">
      <c r="A106" s="109" t="s">
        <v>18</v>
      </c>
      <c r="B106" s="49" t="s">
        <v>116</v>
      </c>
      <c r="C106" s="48" t="s">
        <v>117</v>
      </c>
      <c r="D106" s="29" t="s">
        <v>221</v>
      </c>
      <c r="E106" s="132"/>
      <c r="F106" s="102"/>
      <c r="G106" s="30">
        <f>G107</f>
        <v>59858.9</v>
      </c>
      <c r="H106" s="30">
        <f>H107</f>
        <v>0</v>
      </c>
      <c r="I106" s="5"/>
    </row>
    <row r="107" spans="1:9" s="3" customFormat="1" ht="15.75">
      <c r="A107" s="109" t="s">
        <v>155</v>
      </c>
      <c r="B107" s="49" t="s">
        <v>116</v>
      </c>
      <c r="C107" s="48" t="s">
        <v>117</v>
      </c>
      <c r="D107" s="29" t="s">
        <v>221</v>
      </c>
      <c r="E107" s="28" t="s">
        <v>156</v>
      </c>
      <c r="F107" s="102" t="s">
        <v>57</v>
      </c>
      <c r="G107" s="30">
        <f>'Прилож №5'!H86</f>
        <v>59858.9</v>
      </c>
      <c r="H107" s="30">
        <f>'Прилож №5'!I86</f>
        <v>0</v>
      </c>
      <c r="I107" s="5"/>
    </row>
    <row r="108" spans="1:9" s="3" customFormat="1" ht="29.25">
      <c r="A108" s="116" t="s">
        <v>72</v>
      </c>
      <c r="B108" s="49" t="s">
        <v>116</v>
      </c>
      <c r="C108" s="28" t="s">
        <v>117</v>
      </c>
      <c r="D108" s="29" t="s">
        <v>48</v>
      </c>
      <c r="E108" s="28"/>
      <c r="F108" s="58"/>
      <c r="G108" s="39">
        <f>G109</f>
        <v>1621</v>
      </c>
      <c r="H108" s="39"/>
      <c r="I108" s="5"/>
    </row>
    <row r="109" spans="1:9" s="3" customFormat="1" ht="15.75">
      <c r="A109" s="117" t="s">
        <v>181</v>
      </c>
      <c r="B109" s="49" t="s">
        <v>116</v>
      </c>
      <c r="C109" s="37" t="s">
        <v>117</v>
      </c>
      <c r="D109" s="38" t="s">
        <v>182</v>
      </c>
      <c r="E109" s="37"/>
      <c r="F109" s="58"/>
      <c r="G109" s="39">
        <f>G110</f>
        <v>1621</v>
      </c>
      <c r="H109" s="39"/>
      <c r="I109" s="5"/>
    </row>
    <row r="110" spans="1:9" s="3" customFormat="1" ht="15.75">
      <c r="A110" s="118" t="s">
        <v>94</v>
      </c>
      <c r="B110" s="49" t="s">
        <v>116</v>
      </c>
      <c r="C110" s="29" t="s">
        <v>117</v>
      </c>
      <c r="D110" s="38" t="s">
        <v>182</v>
      </c>
      <c r="E110" s="37" t="s">
        <v>158</v>
      </c>
      <c r="F110" s="57" t="s">
        <v>158</v>
      </c>
      <c r="G110" s="39">
        <f>'Прилож №5'!H528</f>
        <v>1621</v>
      </c>
      <c r="H110" s="39"/>
      <c r="I110" s="5"/>
    </row>
    <row r="111" spans="1:9" s="3" customFormat="1" ht="15.75">
      <c r="A111" s="113" t="s">
        <v>228</v>
      </c>
      <c r="B111" s="29" t="s">
        <v>116</v>
      </c>
      <c r="C111" s="84" t="s">
        <v>117</v>
      </c>
      <c r="D111" s="29" t="s">
        <v>227</v>
      </c>
      <c r="E111" s="28"/>
      <c r="F111" s="58"/>
      <c r="G111" s="39">
        <f>G112</f>
        <v>1400</v>
      </c>
      <c r="H111" s="39">
        <f>H112</f>
        <v>1400</v>
      </c>
      <c r="I111" s="5"/>
    </row>
    <row r="112" spans="1:9" s="3" customFormat="1" ht="43.5">
      <c r="A112" s="397" t="s">
        <v>486</v>
      </c>
      <c r="B112" s="38" t="s">
        <v>116</v>
      </c>
      <c r="C112" s="89" t="s">
        <v>117</v>
      </c>
      <c r="D112" s="63" t="s">
        <v>485</v>
      </c>
      <c r="E112" s="43"/>
      <c r="F112" s="105"/>
      <c r="G112" s="39">
        <f>G113</f>
        <v>1400</v>
      </c>
      <c r="H112" s="39">
        <f>H113</f>
        <v>1400</v>
      </c>
      <c r="I112" s="5"/>
    </row>
    <row r="113" spans="1:9" s="3" customFormat="1" ht="43.5">
      <c r="A113" s="168" t="s">
        <v>487</v>
      </c>
      <c r="B113" s="29" t="s">
        <v>116</v>
      </c>
      <c r="C113" s="84" t="s">
        <v>117</v>
      </c>
      <c r="D113" s="29" t="s">
        <v>485</v>
      </c>
      <c r="E113" s="28" t="s">
        <v>424</v>
      </c>
      <c r="F113" s="58" t="s">
        <v>424</v>
      </c>
      <c r="G113" s="39">
        <f>'Прилож №5'!H89</f>
        <v>1400</v>
      </c>
      <c r="H113" s="39">
        <f>'Прилож №5'!I89</f>
        <v>1400</v>
      </c>
      <c r="I113" s="5"/>
    </row>
    <row r="114" spans="1:9" s="4" customFormat="1" ht="15.75">
      <c r="A114" s="109" t="s">
        <v>83</v>
      </c>
      <c r="B114" s="49" t="s">
        <v>116</v>
      </c>
      <c r="C114" s="37" t="s">
        <v>117</v>
      </c>
      <c r="D114" s="38" t="s">
        <v>84</v>
      </c>
      <c r="E114" s="132"/>
      <c r="F114" s="57"/>
      <c r="G114" s="39">
        <f>G115+G118</f>
        <v>1374.7</v>
      </c>
      <c r="H114" s="39">
        <f>H115+H118</f>
        <v>0</v>
      </c>
      <c r="I114" s="5"/>
    </row>
    <row r="115" spans="1:9" s="4" customFormat="1" ht="43.5">
      <c r="A115" s="222" t="s">
        <v>211</v>
      </c>
      <c r="B115" s="49" t="s">
        <v>116</v>
      </c>
      <c r="C115" s="37" t="s">
        <v>117</v>
      </c>
      <c r="D115" s="38" t="s">
        <v>217</v>
      </c>
      <c r="E115" s="132"/>
      <c r="F115" s="57"/>
      <c r="G115" s="39">
        <f>G116+G117</f>
        <v>995</v>
      </c>
      <c r="H115" s="39">
        <f>H117</f>
        <v>0</v>
      </c>
      <c r="I115" s="5"/>
    </row>
    <row r="116" spans="1:9" s="4" customFormat="1" ht="15.75">
      <c r="A116" s="128" t="s">
        <v>270</v>
      </c>
      <c r="B116" s="49" t="s">
        <v>116</v>
      </c>
      <c r="C116" s="37" t="s">
        <v>117</v>
      </c>
      <c r="D116" s="38" t="s">
        <v>217</v>
      </c>
      <c r="E116" s="37" t="s">
        <v>57</v>
      </c>
      <c r="F116" s="57"/>
      <c r="G116" s="39">
        <f>'Прилож №5'!H92</f>
        <v>350</v>
      </c>
      <c r="H116" s="39"/>
      <c r="I116" s="5"/>
    </row>
    <row r="117" spans="1:9" s="4" customFormat="1" ht="15.75">
      <c r="A117" s="115" t="s">
        <v>94</v>
      </c>
      <c r="B117" s="49" t="s">
        <v>116</v>
      </c>
      <c r="C117" s="37" t="s">
        <v>117</v>
      </c>
      <c r="D117" s="38" t="s">
        <v>217</v>
      </c>
      <c r="E117" s="37" t="s">
        <v>158</v>
      </c>
      <c r="F117" s="57" t="s">
        <v>158</v>
      </c>
      <c r="G117" s="39">
        <f>'Прилож №5'!H93</f>
        <v>645</v>
      </c>
      <c r="H117" s="39">
        <f>'Прилож №5'!I93</f>
        <v>0</v>
      </c>
      <c r="I117" s="5"/>
    </row>
    <row r="118" spans="1:9" s="4" customFormat="1" ht="43.5">
      <c r="A118" s="167" t="s">
        <v>249</v>
      </c>
      <c r="B118" s="38" t="s">
        <v>116</v>
      </c>
      <c r="C118" s="89" t="s">
        <v>117</v>
      </c>
      <c r="D118" s="38" t="s">
        <v>151</v>
      </c>
      <c r="E118" s="132"/>
      <c r="F118" s="54"/>
      <c r="G118" s="39">
        <f>G119</f>
        <v>379.7</v>
      </c>
      <c r="H118" s="39">
        <f>H119</f>
        <v>0</v>
      </c>
      <c r="I118" s="5"/>
    </row>
    <row r="119" spans="1:9" s="4" customFormat="1" ht="16.5" thickBot="1">
      <c r="A119" s="127" t="s">
        <v>94</v>
      </c>
      <c r="B119" s="29" t="s">
        <v>116</v>
      </c>
      <c r="C119" s="29" t="s">
        <v>117</v>
      </c>
      <c r="D119" s="38" t="s">
        <v>151</v>
      </c>
      <c r="E119" s="157" t="s">
        <v>158</v>
      </c>
      <c r="F119" s="54"/>
      <c r="G119" s="39">
        <f>'Прилож №5'!H95</f>
        <v>379.7</v>
      </c>
      <c r="H119" s="39">
        <f>'Прилож №5'!I95</f>
        <v>0</v>
      </c>
      <c r="I119" s="5"/>
    </row>
    <row r="120" spans="1:9" s="4" customFormat="1" ht="15.75">
      <c r="A120" s="55" t="s">
        <v>16</v>
      </c>
      <c r="B120" s="107" t="s">
        <v>127</v>
      </c>
      <c r="C120" s="107"/>
      <c r="D120" s="107"/>
      <c r="E120" s="254"/>
      <c r="F120" s="21"/>
      <c r="G120" s="285">
        <f>G121+G160+G143</f>
        <v>519013.30000000005</v>
      </c>
      <c r="H120" s="253">
        <f>H121+H160+H143</f>
        <v>309450.7</v>
      </c>
      <c r="I120" s="5"/>
    </row>
    <row r="121" spans="1:9" s="4" customFormat="1" ht="15.75">
      <c r="A121" s="53" t="s">
        <v>45</v>
      </c>
      <c r="B121" s="33" t="s">
        <v>127</v>
      </c>
      <c r="C121" s="33" t="s">
        <v>114</v>
      </c>
      <c r="D121" s="33"/>
      <c r="E121" s="33"/>
      <c r="F121" s="32"/>
      <c r="G121" s="165">
        <f>G132+G122+G129</f>
        <v>146184.6</v>
      </c>
      <c r="H121" s="34">
        <f>H132+H122+H129</f>
        <v>77410.7</v>
      </c>
      <c r="I121" s="5"/>
    </row>
    <row r="122" spans="1:9" s="4" customFormat="1" ht="29.25">
      <c r="A122" s="112" t="s">
        <v>283</v>
      </c>
      <c r="B122" s="63" t="s">
        <v>127</v>
      </c>
      <c r="C122" s="63" t="s">
        <v>114</v>
      </c>
      <c r="D122" s="63" t="s">
        <v>284</v>
      </c>
      <c r="E122" s="63" t="s">
        <v>36</v>
      </c>
      <c r="F122" s="153"/>
      <c r="G122" s="255">
        <f>G123+G126</f>
        <v>121908.6</v>
      </c>
      <c r="H122" s="50">
        <f>H123+H126</f>
        <v>77410.7</v>
      </c>
      <c r="I122" s="5"/>
    </row>
    <row r="123" spans="1:9" s="4" customFormat="1" ht="72">
      <c r="A123" s="252" t="s">
        <v>285</v>
      </c>
      <c r="B123" s="29" t="s">
        <v>127</v>
      </c>
      <c r="C123" s="29" t="s">
        <v>114</v>
      </c>
      <c r="D123" s="29" t="s">
        <v>286</v>
      </c>
      <c r="E123" s="29" t="s">
        <v>36</v>
      </c>
      <c r="F123" s="152"/>
      <c r="G123" s="256">
        <f>G124</f>
        <v>60954.3</v>
      </c>
      <c r="H123" s="30">
        <f>H124</f>
        <v>55696.5</v>
      </c>
      <c r="I123" s="5"/>
    </row>
    <row r="124" spans="1:9" s="4" customFormat="1" ht="57.75">
      <c r="A124" s="252" t="s">
        <v>287</v>
      </c>
      <c r="B124" s="29" t="s">
        <v>127</v>
      </c>
      <c r="C124" s="29" t="s">
        <v>114</v>
      </c>
      <c r="D124" s="29" t="s">
        <v>288</v>
      </c>
      <c r="E124" s="29" t="s">
        <v>36</v>
      </c>
      <c r="F124" s="152"/>
      <c r="G124" s="256">
        <f>G125</f>
        <v>60954.3</v>
      </c>
      <c r="H124" s="30">
        <f>H125</f>
        <v>55696.5</v>
      </c>
      <c r="I124" s="5"/>
    </row>
    <row r="125" spans="1:9" s="4" customFormat="1" ht="43.5">
      <c r="A125" s="252" t="s">
        <v>438</v>
      </c>
      <c r="B125" s="29" t="s">
        <v>127</v>
      </c>
      <c r="C125" s="29" t="s">
        <v>114</v>
      </c>
      <c r="D125" s="29" t="s">
        <v>288</v>
      </c>
      <c r="E125" s="29" t="s">
        <v>424</v>
      </c>
      <c r="F125" s="152" t="s">
        <v>57</v>
      </c>
      <c r="G125" s="256">
        <f>'Прилож №5'!H101</f>
        <v>60954.3</v>
      </c>
      <c r="H125" s="30">
        <f>'Прилож №5'!I101</f>
        <v>55696.5</v>
      </c>
      <c r="I125" s="5"/>
    </row>
    <row r="126" spans="1:9" s="4" customFormat="1" ht="29.25">
      <c r="A126" s="252" t="s">
        <v>289</v>
      </c>
      <c r="B126" s="29" t="s">
        <v>127</v>
      </c>
      <c r="C126" s="29" t="s">
        <v>114</v>
      </c>
      <c r="D126" s="29" t="s">
        <v>290</v>
      </c>
      <c r="E126" s="38" t="s">
        <v>36</v>
      </c>
      <c r="F126" s="152"/>
      <c r="G126" s="256">
        <f>G127</f>
        <v>60954.299999999996</v>
      </c>
      <c r="H126" s="30">
        <f>H127</f>
        <v>21714.2</v>
      </c>
      <c r="I126" s="5"/>
    </row>
    <row r="127" spans="1:9" s="4" customFormat="1" ht="29.25">
      <c r="A127" s="252" t="s">
        <v>283</v>
      </c>
      <c r="B127" s="29" t="s">
        <v>127</v>
      </c>
      <c r="C127" s="29" t="s">
        <v>114</v>
      </c>
      <c r="D127" s="84" t="s">
        <v>291</v>
      </c>
      <c r="E127" s="29" t="s">
        <v>36</v>
      </c>
      <c r="F127" s="152"/>
      <c r="G127" s="256">
        <f>G128</f>
        <v>60954.299999999996</v>
      </c>
      <c r="H127" s="30">
        <f>H128</f>
        <v>21714.2</v>
      </c>
      <c r="I127" s="5"/>
    </row>
    <row r="128" spans="1:9" s="4" customFormat="1" ht="47.25" customHeight="1">
      <c r="A128" s="252" t="s">
        <v>438</v>
      </c>
      <c r="B128" s="29" t="s">
        <v>127</v>
      </c>
      <c r="C128" s="29" t="s">
        <v>114</v>
      </c>
      <c r="D128" s="84" t="s">
        <v>291</v>
      </c>
      <c r="E128" s="29" t="s">
        <v>424</v>
      </c>
      <c r="F128" s="152" t="s">
        <v>57</v>
      </c>
      <c r="G128" s="256">
        <f>'Прилож №5'!H104</f>
        <v>60954.299999999996</v>
      </c>
      <c r="H128" s="30">
        <f>'Прилож №5'!I104</f>
        <v>21714.2</v>
      </c>
      <c r="I128" s="5"/>
    </row>
    <row r="129" spans="1:9" s="4" customFormat="1" ht="16.5" customHeight="1">
      <c r="A129" s="259" t="s">
        <v>300</v>
      </c>
      <c r="B129" s="29" t="s">
        <v>127</v>
      </c>
      <c r="C129" s="29" t="s">
        <v>114</v>
      </c>
      <c r="D129" s="28" t="s">
        <v>299</v>
      </c>
      <c r="E129" s="29" t="s">
        <v>36</v>
      </c>
      <c r="F129" s="133"/>
      <c r="G129" s="171">
        <f>G130</f>
        <v>3364.2000000000003</v>
      </c>
      <c r="H129" s="34"/>
      <c r="I129" s="5"/>
    </row>
    <row r="130" spans="1:9" s="4" customFormat="1" ht="16.5" customHeight="1">
      <c r="A130" s="259" t="s">
        <v>301</v>
      </c>
      <c r="B130" s="29" t="s">
        <v>127</v>
      </c>
      <c r="C130" s="29" t="s">
        <v>114</v>
      </c>
      <c r="D130" s="28" t="s">
        <v>302</v>
      </c>
      <c r="E130" s="29" t="s">
        <v>36</v>
      </c>
      <c r="F130" s="133"/>
      <c r="G130" s="171">
        <f>G131</f>
        <v>3364.2000000000003</v>
      </c>
      <c r="H130" s="34"/>
      <c r="I130" s="5"/>
    </row>
    <row r="131" spans="1:9" s="4" customFormat="1" ht="16.5" customHeight="1">
      <c r="A131" s="259" t="s">
        <v>94</v>
      </c>
      <c r="B131" s="29" t="s">
        <v>127</v>
      </c>
      <c r="C131" s="29" t="s">
        <v>114</v>
      </c>
      <c r="D131" s="28" t="s">
        <v>302</v>
      </c>
      <c r="E131" s="29" t="s">
        <v>158</v>
      </c>
      <c r="F131" s="133" t="s">
        <v>158</v>
      </c>
      <c r="G131" s="171">
        <f>'Прилож №5'!H107+'Прилож №5'!H533</f>
        <v>3364.2000000000003</v>
      </c>
      <c r="H131" s="34"/>
      <c r="I131" s="5"/>
    </row>
    <row r="132" spans="1:9" s="4" customFormat="1" ht="15.75">
      <c r="A132" s="109" t="s">
        <v>83</v>
      </c>
      <c r="B132" s="29" t="s">
        <v>127</v>
      </c>
      <c r="C132" s="29" t="s">
        <v>114</v>
      </c>
      <c r="D132" s="84" t="s">
        <v>84</v>
      </c>
      <c r="E132" s="29"/>
      <c r="F132" s="32"/>
      <c r="G132" s="122">
        <f>G134+G136+G138+G139+G141</f>
        <v>20911.8</v>
      </c>
      <c r="H132" s="34"/>
      <c r="I132" s="5"/>
    </row>
    <row r="133" spans="1:9" s="4" customFormat="1" ht="57.75">
      <c r="A133" s="112" t="s">
        <v>256</v>
      </c>
      <c r="B133" s="49" t="s">
        <v>127</v>
      </c>
      <c r="C133" s="49" t="s">
        <v>114</v>
      </c>
      <c r="D133" s="49" t="s">
        <v>153</v>
      </c>
      <c r="E133" s="49"/>
      <c r="F133" s="36"/>
      <c r="G133" s="50">
        <f>G134</f>
        <v>5052</v>
      </c>
      <c r="H133" s="61"/>
      <c r="I133" s="5"/>
    </row>
    <row r="134" spans="1:9" s="4" customFormat="1" ht="15.75">
      <c r="A134" s="109" t="s">
        <v>94</v>
      </c>
      <c r="B134" s="29" t="s">
        <v>127</v>
      </c>
      <c r="C134" s="29" t="s">
        <v>114</v>
      </c>
      <c r="D134" s="63" t="s">
        <v>153</v>
      </c>
      <c r="E134" s="48" t="s">
        <v>158</v>
      </c>
      <c r="F134" s="36"/>
      <c r="G134" s="50">
        <f>'Прилож №5'!H110</f>
        <v>5052</v>
      </c>
      <c r="H134" s="61"/>
      <c r="I134" s="5"/>
    </row>
    <row r="135" spans="1:9" s="4" customFormat="1" ht="65.25" customHeight="1">
      <c r="A135" s="227" t="s">
        <v>212</v>
      </c>
      <c r="B135" s="29" t="s">
        <v>127</v>
      </c>
      <c r="C135" s="29" t="s">
        <v>114</v>
      </c>
      <c r="D135" s="38" t="s">
        <v>258</v>
      </c>
      <c r="E135" s="28"/>
      <c r="F135" s="36"/>
      <c r="G135" s="50">
        <f>G136</f>
        <v>1600</v>
      </c>
      <c r="H135" s="61"/>
      <c r="I135" s="5"/>
    </row>
    <row r="136" spans="1:9" s="4" customFormat="1" ht="15.75">
      <c r="A136" s="109" t="s">
        <v>94</v>
      </c>
      <c r="B136" s="29" t="s">
        <v>127</v>
      </c>
      <c r="C136" s="29" t="s">
        <v>114</v>
      </c>
      <c r="D136" s="38" t="s">
        <v>258</v>
      </c>
      <c r="E136" s="28" t="s">
        <v>158</v>
      </c>
      <c r="F136" s="36"/>
      <c r="G136" s="50">
        <f>'Прилож №5'!H112</f>
        <v>1600</v>
      </c>
      <c r="H136" s="61"/>
      <c r="I136" s="5"/>
    </row>
    <row r="137" spans="1:9" s="4" customFormat="1" ht="42.75">
      <c r="A137" s="208" t="s">
        <v>257</v>
      </c>
      <c r="B137" s="29" t="s">
        <v>127</v>
      </c>
      <c r="C137" s="29" t="s">
        <v>114</v>
      </c>
      <c r="D137" s="38" t="s">
        <v>215</v>
      </c>
      <c r="E137" s="28"/>
      <c r="F137" s="36"/>
      <c r="G137" s="50">
        <f>G138</f>
        <v>6063.8</v>
      </c>
      <c r="H137" s="61"/>
      <c r="I137" s="5"/>
    </row>
    <row r="138" spans="1:9" s="4" customFormat="1" ht="15.75">
      <c r="A138" s="236" t="s">
        <v>270</v>
      </c>
      <c r="B138" s="38" t="s">
        <v>127</v>
      </c>
      <c r="C138" s="38" t="s">
        <v>114</v>
      </c>
      <c r="D138" s="38" t="s">
        <v>215</v>
      </c>
      <c r="E138" s="28" t="s">
        <v>57</v>
      </c>
      <c r="F138" s="48"/>
      <c r="G138" s="50">
        <f>'Прилож №5'!H114</f>
        <v>6063.8</v>
      </c>
      <c r="H138" s="50"/>
      <c r="I138" s="5"/>
    </row>
    <row r="139" spans="1:9" s="4" customFormat="1" ht="43.5">
      <c r="A139" s="236" t="s">
        <v>303</v>
      </c>
      <c r="B139" s="29" t="s">
        <v>127</v>
      </c>
      <c r="C139" s="38" t="s">
        <v>114</v>
      </c>
      <c r="D139" s="38" t="s">
        <v>304</v>
      </c>
      <c r="E139" s="28" t="s">
        <v>36</v>
      </c>
      <c r="F139" s="58"/>
      <c r="G139" s="50">
        <f>G140</f>
        <v>8100</v>
      </c>
      <c r="H139" s="50"/>
      <c r="I139" s="5"/>
    </row>
    <row r="140" spans="1:9" s="4" customFormat="1" ht="16.5" thickBot="1">
      <c r="A140" s="236" t="s">
        <v>94</v>
      </c>
      <c r="B140" s="38" t="s">
        <v>127</v>
      </c>
      <c r="C140" s="38" t="s">
        <v>114</v>
      </c>
      <c r="D140" s="38" t="s">
        <v>304</v>
      </c>
      <c r="E140" s="28" t="s">
        <v>158</v>
      </c>
      <c r="F140" s="58" t="s">
        <v>158</v>
      </c>
      <c r="G140" s="50">
        <f>'Прилож №5'!H116</f>
        <v>8100</v>
      </c>
      <c r="H140" s="50"/>
      <c r="I140" s="5"/>
    </row>
    <row r="141" spans="1:9" s="4" customFormat="1" ht="72">
      <c r="A141" s="260" t="s">
        <v>305</v>
      </c>
      <c r="B141" s="355" t="s">
        <v>127</v>
      </c>
      <c r="C141" s="38" t="s">
        <v>114</v>
      </c>
      <c r="D141" s="38" t="s">
        <v>306</v>
      </c>
      <c r="E141" s="28" t="s">
        <v>36</v>
      </c>
      <c r="F141" s="58"/>
      <c r="G141" s="50">
        <f>G142</f>
        <v>96</v>
      </c>
      <c r="H141" s="50"/>
      <c r="I141" s="5"/>
    </row>
    <row r="142" spans="1:9" s="4" customFormat="1" ht="15.75">
      <c r="A142" s="236" t="s">
        <v>94</v>
      </c>
      <c r="B142" s="29" t="s">
        <v>127</v>
      </c>
      <c r="C142" s="38" t="s">
        <v>114</v>
      </c>
      <c r="D142" s="38" t="s">
        <v>306</v>
      </c>
      <c r="E142" s="28" t="s">
        <v>158</v>
      </c>
      <c r="F142" s="58" t="s">
        <v>158</v>
      </c>
      <c r="G142" s="50">
        <f>'Прилож №5'!H118</f>
        <v>96</v>
      </c>
      <c r="H142" s="50"/>
      <c r="I142" s="5"/>
    </row>
    <row r="143" spans="1:9" s="4" customFormat="1" ht="15.75">
      <c r="A143" s="15" t="s">
        <v>225</v>
      </c>
      <c r="B143" s="33" t="s">
        <v>127</v>
      </c>
      <c r="C143" s="33" t="s">
        <v>115</v>
      </c>
      <c r="D143" s="33"/>
      <c r="E143" s="155"/>
      <c r="F143" s="131" t="s">
        <v>36</v>
      </c>
      <c r="G143" s="61">
        <f>G153+G147+G144</f>
        <v>297868.7</v>
      </c>
      <c r="H143" s="61">
        <f>H153+H147</f>
        <v>229200</v>
      </c>
      <c r="I143" s="5"/>
    </row>
    <row r="144" spans="1:9" s="4" customFormat="1" ht="15.75">
      <c r="A144" s="362" t="s">
        <v>466</v>
      </c>
      <c r="B144" s="29" t="s">
        <v>127</v>
      </c>
      <c r="C144" s="89" t="s">
        <v>115</v>
      </c>
      <c r="D144" s="29" t="s">
        <v>467</v>
      </c>
      <c r="E144" s="32"/>
      <c r="F144" s="131"/>
      <c r="G144" s="61">
        <f>G145</f>
        <v>50118.8</v>
      </c>
      <c r="H144" s="61"/>
      <c r="I144" s="5"/>
    </row>
    <row r="145" spans="1:9" s="4" customFormat="1" ht="15.75">
      <c r="A145" s="362" t="s">
        <v>468</v>
      </c>
      <c r="B145" s="29" t="s">
        <v>127</v>
      </c>
      <c r="C145" s="89" t="s">
        <v>115</v>
      </c>
      <c r="D145" s="29" t="s">
        <v>469</v>
      </c>
      <c r="E145" s="32"/>
      <c r="F145" s="131"/>
      <c r="G145" s="61">
        <f>G146</f>
        <v>50118.8</v>
      </c>
      <c r="H145" s="61"/>
      <c r="I145" s="5"/>
    </row>
    <row r="146" spans="1:9" s="4" customFormat="1" ht="15.75">
      <c r="A146" s="168" t="s">
        <v>94</v>
      </c>
      <c r="B146" s="29" t="s">
        <v>127</v>
      </c>
      <c r="C146" s="84" t="s">
        <v>115</v>
      </c>
      <c r="D146" s="29" t="s">
        <v>469</v>
      </c>
      <c r="E146" s="32" t="s">
        <v>158</v>
      </c>
      <c r="F146" s="131"/>
      <c r="G146" s="61">
        <f>'Прилож №5'!H122+'Прилож №5'!H489</f>
        <v>50118.8</v>
      </c>
      <c r="H146" s="61"/>
      <c r="I146" s="5"/>
    </row>
    <row r="147" spans="1:9" s="4" customFormat="1" ht="15.75">
      <c r="A147" s="113" t="s">
        <v>228</v>
      </c>
      <c r="B147" s="59" t="s">
        <v>127</v>
      </c>
      <c r="C147" s="59" t="s">
        <v>115</v>
      </c>
      <c r="D147" s="59" t="s">
        <v>227</v>
      </c>
      <c r="E147" s="32"/>
      <c r="F147" s="131"/>
      <c r="G147" s="50">
        <f>G148</f>
        <v>229200</v>
      </c>
      <c r="H147" s="50">
        <f>H148</f>
        <v>229200</v>
      </c>
      <c r="I147" s="5"/>
    </row>
    <row r="148" spans="1:9" s="4" customFormat="1" ht="29.25">
      <c r="A148" s="112" t="s">
        <v>280</v>
      </c>
      <c r="B148" s="29" t="s">
        <v>127</v>
      </c>
      <c r="C148" s="29" t="s">
        <v>115</v>
      </c>
      <c r="D148" s="29" t="s">
        <v>279</v>
      </c>
      <c r="E148" s="32"/>
      <c r="F148" s="131"/>
      <c r="G148" s="50">
        <f>G149+G151</f>
        <v>229200</v>
      </c>
      <c r="H148" s="50">
        <f>H149+H151</f>
        <v>229200</v>
      </c>
      <c r="I148" s="5"/>
    </row>
    <row r="149" spans="1:9" s="4" customFormat="1" ht="29.25">
      <c r="A149" s="111" t="s">
        <v>281</v>
      </c>
      <c r="B149" s="49" t="s">
        <v>127</v>
      </c>
      <c r="C149" s="29" t="s">
        <v>115</v>
      </c>
      <c r="D149" s="29" t="s">
        <v>278</v>
      </c>
      <c r="E149" s="32"/>
      <c r="F149" s="131"/>
      <c r="G149" s="50">
        <f>G150</f>
        <v>187200</v>
      </c>
      <c r="H149" s="50">
        <f>H150</f>
        <v>187200</v>
      </c>
      <c r="I149" s="5"/>
    </row>
    <row r="150" spans="1:9" s="4" customFormat="1" ht="15.75">
      <c r="A150" s="201" t="s">
        <v>254</v>
      </c>
      <c r="B150" s="29" t="s">
        <v>127</v>
      </c>
      <c r="C150" s="29" t="s">
        <v>115</v>
      </c>
      <c r="D150" s="29" t="s">
        <v>278</v>
      </c>
      <c r="E150" s="28" t="s">
        <v>425</v>
      </c>
      <c r="F150" s="56"/>
      <c r="G150" s="50">
        <f>'Прилож №5'!H126</f>
        <v>187200</v>
      </c>
      <c r="H150" s="50">
        <f>'Прилож №5'!I126</f>
        <v>187200</v>
      </c>
      <c r="I150" s="5"/>
    </row>
    <row r="151" spans="1:9" s="4" customFormat="1" ht="57.75">
      <c r="A151" s="128" t="s">
        <v>421</v>
      </c>
      <c r="B151" s="29" t="s">
        <v>127</v>
      </c>
      <c r="C151" s="29" t="s">
        <v>115</v>
      </c>
      <c r="D151" s="29" t="s">
        <v>414</v>
      </c>
      <c r="E151" s="28"/>
      <c r="F151" s="56"/>
      <c r="G151" s="50">
        <f>G152</f>
        <v>42000</v>
      </c>
      <c r="H151" s="50">
        <f>H152</f>
        <v>42000</v>
      </c>
      <c r="I151" s="5"/>
    </row>
    <row r="152" spans="1:9" s="4" customFormat="1" ht="14.25" customHeight="1">
      <c r="A152" s="112" t="s">
        <v>308</v>
      </c>
      <c r="B152" s="29" t="s">
        <v>127</v>
      </c>
      <c r="C152" s="29" t="s">
        <v>115</v>
      </c>
      <c r="D152" s="29" t="s">
        <v>414</v>
      </c>
      <c r="E152" s="28" t="s">
        <v>309</v>
      </c>
      <c r="F152" s="56"/>
      <c r="G152" s="50">
        <f>'Прилож №5'!H128</f>
        <v>42000</v>
      </c>
      <c r="H152" s="50">
        <f>'Прилож №5'!I128</f>
        <v>42000</v>
      </c>
      <c r="I152" s="5"/>
    </row>
    <row r="153" spans="1:9" s="4" customFormat="1" ht="15.75">
      <c r="A153" s="110" t="s">
        <v>83</v>
      </c>
      <c r="B153" s="29" t="s">
        <v>127</v>
      </c>
      <c r="C153" s="29" t="s">
        <v>115</v>
      </c>
      <c r="D153" s="29" t="s">
        <v>84</v>
      </c>
      <c r="E153" s="28"/>
      <c r="F153" s="58"/>
      <c r="G153" s="50">
        <f>G154</f>
        <v>18549.899999999998</v>
      </c>
      <c r="H153" s="50">
        <f>H155+H158</f>
        <v>0</v>
      </c>
      <c r="I153" s="5"/>
    </row>
    <row r="154" spans="1:9" s="4" customFormat="1" ht="43.5">
      <c r="A154" s="228" t="s">
        <v>253</v>
      </c>
      <c r="B154" s="49" t="s">
        <v>127</v>
      </c>
      <c r="C154" s="49" t="s">
        <v>115</v>
      </c>
      <c r="D154" s="38" t="s">
        <v>213</v>
      </c>
      <c r="E154" s="28"/>
      <c r="F154" s="58"/>
      <c r="G154" s="50">
        <f>G155+G156</f>
        <v>18549.899999999998</v>
      </c>
      <c r="H154" s="61"/>
      <c r="I154" s="5"/>
    </row>
    <row r="155" spans="1:9" s="4" customFormat="1" ht="15.75">
      <c r="A155" s="115" t="s">
        <v>94</v>
      </c>
      <c r="B155" s="29" t="s">
        <v>127</v>
      </c>
      <c r="C155" s="29" t="s">
        <v>115</v>
      </c>
      <c r="D155" s="38" t="s">
        <v>213</v>
      </c>
      <c r="E155" s="28" t="s">
        <v>158</v>
      </c>
      <c r="F155" s="58" t="s">
        <v>158</v>
      </c>
      <c r="G155" s="50">
        <f>'Прилож №5'!H131</f>
        <v>6904.099999999999</v>
      </c>
      <c r="H155" s="50">
        <f>'Прилож №5'!I131</f>
        <v>0</v>
      </c>
      <c r="I155" s="5"/>
    </row>
    <row r="156" spans="1:9" s="4" customFormat="1" ht="15.75">
      <c r="A156" s="53" t="s">
        <v>131</v>
      </c>
      <c r="B156" s="29" t="s">
        <v>127</v>
      </c>
      <c r="C156" s="29" t="s">
        <v>115</v>
      </c>
      <c r="D156" s="38" t="s">
        <v>213</v>
      </c>
      <c r="E156" s="28" t="s">
        <v>44</v>
      </c>
      <c r="F156" s="58"/>
      <c r="G156" s="50">
        <f>G157+G158+G159</f>
        <v>11645.8</v>
      </c>
      <c r="H156" s="50"/>
      <c r="I156" s="5"/>
    </row>
    <row r="157" spans="1:9" s="4" customFormat="1" ht="58.5">
      <c r="A157" s="325" t="s">
        <v>411</v>
      </c>
      <c r="B157" s="29" t="s">
        <v>127</v>
      </c>
      <c r="C157" s="29" t="s">
        <v>115</v>
      </c>
      <c r="D157" s="38" t="s">
        <v>213</v>
      </c>
      <c r="E157" s="28" t="s">
        <v>44</v>
      </c>
      <c r="F157" s="58"/>
      <c r="G157" s="30">
        <f>'Прилож №5'!H134</f>
        <v>645.8000000000001</v>
      </c>
      <c r="H157" s="30"/>
      <c r="I157" s="5"/>
    </row>
    <row r="158" spans="1:9" s="4" customFormat="1" ht="58.5">
      <c r="A158" s="325" t="s">
        <v>273</v>
      </c>
      <c r="B158" s="29" t="s">
        <v>127</v>
      </c>
      <c r="C158" s="29" t="s">
        <v>115</v>
      </c>
      <c r="D158" s="38" t="s">
        <v>213</v>
      </c>
      <c r="E158" s="28" t="s">
        <v>44</v>
      </c>
      <c r="F158" s="58" t="s">
        <v>44</v>
      </c>
      <c r="G158" s="50">
        <f>'Прилож №5'!H133</f>
        <v>1000</v>
      </c>
      <c r="H158" s="50">
        <f>'Прилож №5'!I133</f>
        <v>0</v>
      </c>
      <c r="I158" s="5"/>
    </row>
    <row r="159" spans="1:9" s="4" customFormat="1" ht="30">
      <c r="A159" s="258" t="s">
        <v>443</v>
      </c>
      <c r="B159" s="29" t="s">
        <v>127</v>
      </c>
      <c r="C159" s="29" t="s">
        <v>115</v>
      </c>
      <c r="D159" s="38" t="s">
        <v>213</v>
      </c>
      <c r="E159" s="28" t="s">
        <v>44</v>
      </c>
      <c r="F159" s="56"/>
      <c r="G159" s="50">
        <f>'Прилож №5'!H135</f>
        <v>10000</v>
      </c>
      <c r="H159" s="50"/>
      <c r="I159" s="5"/>
    </row>
    <row r="160" spans="1:9" s="3" customFormat="1" ht="15.75">
      <c r="A160" s="53" t="s">
        <v>86</v>
      </c>
      <c r="B160" s="33" t="s">
        <v>127</v>
      </c>
      <c r="C160" s="33" t="s">
        <v>119</v>
      </c>
      <c r="D160" s="33"/>
      <c r="E160" s="155"/>
      <c r="F160" s="32"/>
      <c r="G160" s="34">
        <f>G166+G161</f>
        <v>74960</v>
      </c>
      <c r="H160" s="34">
        <f>H166+H161</f>
        <v>2840</v>
      </c>
      <c r="I160" s="5"/>
    </row>
    <row r="161" spans="1:9" s="3" customFormat="1" ht="15.75">
      <c r="A161" s="110" t="s">
        <v>86</v>
      </c>
      <c r="B161" s="29" t="s">
        <v>127</v>
      </c>
      <c r="C161" s="84" t="s">
        <v>119</v>
      </c>
      <c r="D161" s="38" t="s">
        <v>444</v>
      </c>
      <c r="E161" s="37"/>
      <c r="F161" s="250"/>
      <c r="G161" s="34">
        <f>G163+G165</f>
        <v>2840</v>
      </c>
      <c r="H161" s="34">
        <f>H163+H165</f>
        <v>2840</v>
      </c>
      <c r="I161" s="5"/>
    </row>
    <row r="162" spans="1:9" s="3" customFormat="1" ht="15.75">
      <c r="A162" s="110" t="s">
        <v>445</v>
      </c>
      <c r="B162" s="29" t="s">
        <v>127</v>
      </c>
      <c r="C162" s="84" t="s">
        <v>119</v>
      </c>
      <c r="D162" s="38" t="s">
        <v>446</v>
      </c>
      <c r="E162" s="37"/>
      <c r="F162" s="99"/>
      <c r="G162" s="34">
        <f>G163</f>
        <v>140</v>
      </c>
      <c r="H162" s="34">
        <f>H163</f>
        <v>140</v>
      </c>
      <c r="I162" s="5"/>
    </row>
    <row r="163" spans="1:9" s="3" customFormat="1" ht="15.75">
      <c r="A163" s="110" t="s">
        <v>94</v>
      </c>
      <c r="B163" s="29" t="s">
        <v>127</v>
      </c>
      <c r="C163" s="84" t="s">
        <v>119</v>
      </c>
      <c r="D163" s="38" t="s">
        <v>446</v>
      </c>
      <c r="E163" s="37" t="s">
        <v>158</v>
      </c>
      <c r="F163" s="58" t="s">
        <v>158</v>
      </c>
      <c r="G163" s="34">
        <f>'Прилож №5'!H139</f>
        <v>140</v>
      </c>
      <c r="H163" s="34">
        <f>'Прилож №5'!I139</f>
        <v>140</v>
      </c>
      <c r="I163" s="5"/>
    </row>
    <row r="164" spans="1:9" s="3" customFormat="1" ht="29.25">
      <c r="A164" s="114" t="s">
        <v>447</v>
      </c>
      <c r="B164" s="29" t="s">
        <v>127</v>
      </c>
      <c r="C164" s="84" t="s">
        <v>119</v>
      </c>
      <c r="D164" s="38" t="s">
        <v>448</v>
      </c>
      <c r="E164" s="65"/>
      <c r="F164" s="99"/>
      <c r="G164" s="34">
        <f>G165</f>
        <v>2700</v>
      </c>
      <c r="H164" s="34">
        <f>H165</f>
        <v>2700</v>
      </c>
      <c r="I164" s="5"/>
    </row>
    <row r="165" spans="1:9" s="3" customFormat="1" ht="15.75">
      <c r="A165" s="110" t="s">
        <v>94</v>
      </c>
      <c r="B165" s="29" t="s">
        <v>127</v>
      </c>
      <c r="C165" s="84" t="s">
        <v>119</v>
      </c>
      <c r="D165" s="38" t="s">
        <v>448</v>
      </c>
      <c r="E165" s="65" t="s">
        <v>158</v>
      </c>
      <c r="F165" s="133" t="s">
        <v>158</v>
      </c>
      <c r="G165" s="34">
        <f>'Прилож №5'!H141</f>
        <v>2700</v>
      </c>
      <c r="H165" s="34">
        <f>'Прилож №5'!I141</f>
        <v>2700</v>
      </c>
      <c r="I165" s="5"/>
    </row>
    <row r="166" spans="1:9" s="4" customFormat="1" ht="15.75">
      <c r="A166" s="110" t="s">
        <v>83</v>
      </c>
      <c r="B166" s="29" t="s">
        <v>127</v>
      </c>
      <c r="C166" s="29" t="s">
        <v>119</v>
      </c>
      <c r="D166" s="38" t="s">
        <v>84</v>
      </c>
      <c r="E166" s="132"/>
      <c r="F166" s="28"/>
      <c r="G166" s="30">
        <f>G167+G170</f>
        <v>72120</v>
      </c>
      <c r="H166" s="30">
        <f>H169</f>
        <v>0</v>
      </c>
      <c r="I166" s="5"/>
    </row>
    <row r="167" spans="1:9" s="4" customFormat="1" ht="29.25">
      <c r="A167" s="111" t="s">
        <v>259</v>
      </c>
      <c r="B167" s="29" t="s">
        <v>127</v>
      </c>
      <c r="C167" s="29" t="s">
        <v>119</v>
      </c>
      <c r="D167" s="38" t="s">
        <v>262</v>
      </c>
      <c r="E167" s="132"/>
      <c r="F167" s="28"/>
      <c r="G167" s="30">
        <f>G169+G168</f>
        <v>68000</v>
      </c>
      <c r="H167" s="30">
        <f>H169</f>
        <v>0</v>
      </c>
      <c r="I167" s="5"/>
    </row>
    <row r="168" spans="1:9" s="4" customFormat="1" ht="30">
      <c r="A168" s="258" t="s">
        <v>442</v>
      </c>
      <c r="B168" s="29" t="s">
        <v>127</v>
      </c>
      <c r="C168" s="29" t="s">
        <v>119</v>
      </c>
      <c r="D168" s="38" t="s">
        <v>262</v>
      </c>
      <c r="E168" s="28" t="s">
        <v>44</v>
      </c>
      <c r="F168" s="37"/>
      <c r="G168" s="39"/>
      <c r="H168" s="39"/>
      <c r="I168" s="5"/>
    </row>
    <row r="169" spans="1:9" s="4" customFormat="1" ht="15.75">
      <c r="A169" s="115" t="s">
        <v>94</v>
      </c>
      <c r="B169" s="38" t="s">
        <v>127</v>
      </c>
      <c r="C169" s="38" t="s">
        <v>119</v>
      </c>
      <c r="D169" s="38" t="s">
        <v>262</v>
      </c>
      <c r="E169" s="157" t="s">
        <v>158</v>
      </c>
      <c r="F169" s="37"/>
      <c r="G169" s="39">
        <f>'Прилож №5'!H144+'Прилож №5'!H493</f>
        <v>68000</v>
      </c>
      <c r="H169" s="39">
        <f>'Прилож №5'!I144</f>
        <v>0</v>
      </c>
      <c r="I169" s="5"/>
    </row>
    <row r="170" spans="1:9" s="4" customFormat="1" ht="47.25" customHeight="1">
      <c r="A170" s="168" t="s">
        <v>271</v>
      </c>
      <c r="B170" s="29" t="s">
        <v>127</v>
      </c>
      <c r="C170" s="29" t="s">
        <v>119</v>
      </c>
      <c r="D170" s="29" t="s">
        <v>272</v>
      </c>
      <c r="E170" s="132"/>
      <c r="F170" s="28"/>
      <c r="G170" s="30">
        <f>G171</f>
        <v>4120</v>
      </c>
      <c r="H170" s="30"/>
      <c r="I170" s="5"/>
    </row>
    <row r="171" spans="1:9" s="4" customFormat="1" ht="16.5" thickBot="1">
      <c r="A171" s="113" t="s">
        <v>94</v>
      </c>
      <c r="B171" s="194" t="s">
        <v>127</v>
      </c>
      <c r="C171" s="63" t="s">
        <v>119</v>
      </c>
      <c r="D171" s="63" t="s">
        <v>272</v>
      </c>
      <c r="E171" s="217" t="s">
        <v>158</v>
      </c>
      <c r="F171" s="43"/>
      <c r="G171" s="68">
        <f>'Прилож №5'!H146</f>
        <v>4120</v>
      </c>
      <c r="H171" s="68"/>
      <c r="I171" s="5"/>
    </row>
    <row r="172" spans="1:9" s="4" customFormat="1" ht="16.5" thickBot="1">
      <c r="A172" s="51" t="s">
        <v>31</v>
      </c>
      <c r="B172" s="80" t="s">
        <v>130</v>
      </c>
      <c r="C172" s="22"/>
      <c r="D172" s="22"/>
      <c r="E172" s="214"/>
      <c r="F172" s="52"/>
      <c r="G172" s="23">
        <f aca="true" t="shared" si="6" ref="G172:H175">G173</f>
        <v>1460</v>
      </c>
      <c r="H172" s="23">
        <f t="shared" si="6"/>
        <v>0</v>
      </c>
      <c r="I172" s="5"/>
    </row>
    <row r="173" spans="1:9" s="4" customFormat="1" ht="15.75">
      <c r="A173" s="15" t="s">
        <v>32</v>
      </c>
      <c r="B173" s="82" t="s">
        <v>130</v>
      </c>
      <c r="C173" s="59" t="s">
        <v>127</v>
      </c>
      <c r="D173" s="59"/>
      <c r="E173" s="215"/>
      <c r="F173" s="60"/>
      <c r="G173" s="61">
        <f t="shared" si="6"/>
        <v>1460</v>
      </c>
      <c r="H173" s="61">
        <f t="shared" si="6"/>
        <v>0</v>
      </c>
      <c r="I173" s="5"/>
    </row>
    <row r="174" spans="1:9" s="4" customFormat="1" ht="15.75">
      <c r="A174" s="109" t="s">
        <v>83</v>
      </c>
      <c r="B174" s="84" t="s">
        <v>130</v>
      </c>
      <c r="C174" s="29" t="s">
        <v>127</v>
      </c>
      <c r="D174" s="29" t="s">
        <v>84</v>
      </c>
      <c r="E174" s="132"/>
      <c r="F174" s="74"/>
      <c r="G174" s="30">
        <f t="shared" si="6"/>
        <v>1460</v>
      </c>
      <c r="H174" s="30">
        <f t="shared" si="6"/>
        <v>0</v>
      </c>
      <c r="I174" s="5"/>
    </row>
    <row r="175" spans="1:9" s="4" customFormat="1" ht="56.25" customHeight="1">
      <c r="A175" s="160" t="s">
        <v>307</v>
      </c>
      <c r="B175" s="91" t="s">
        <v>130</v>
      </c>
      <c r="C175" s="49" t="s">
        <v>127</v>
      </c>
      <c r="D175" s="38" t="s">
        <v>263</v>
      </c>
      <c r="E175" s="154"/>
      <c r="F175" s="62"/>
      <c r="G175" s="50">
        <f t="shared" si="6"/>
        <v>1460</v>
      </c>
      <c r="H175" s="50">
        <f t="shared" si="6"/>
        <v>0</v>
      </c>
      <c r="I175" s="5"/>
    </row>
    <row r="176" spans="1:9" s="4" customFormat="1" ht="16.5" thickBot="1">
      <c r="A176" s="115" t="s">
        <v>94</v>
      </c>
      <c r="B176" s="91" t="s">
        <v>130</v>
      </c>
      <c r="C176" s="194" t="s">
        <v>127</v>
      </c>
      <c r="D176" s="38" t="s">
        <v>263</v>
      </c>
      <c r="E176" s="217" t="s">
        <v>158</v>
      </c>
      <c r="F176" s="62"/>
      <c r="G176" s="50">
        <f>'Прилож №5'!H151+'Прилож №5'!H498</f>
        <v>1460</v>
      </c>
      <c r="H176" s="50">
        <f>'Прилож №5'!I151</f>
        <v>0</v>
      </c>
      <c r="I176" s="5"/>
    </row>
    <row r="177" spans="1:9" s="4" customFormat="1" ht="16.5" thickBot="1">
      <c r="A177" s="51" t="s">
        <v>4</v>
      </c>
      <c r="B177" s="22" t="s">
        <v>122</v>
      </c>
      <c r="C177" s="22"/>
      <c r="D177" s="22"/>
      <c r="E177" s="214"/>
      <c r="F177" s="52"/>
      <c r="G177" s="404">
        <f>G178+G206+G248+G271</f>
        <v>1150378.5</v>
      </c>
      <c r="H177" s="23">
        <f>H178+H206+H248+H271</f>
        <v>486756.5</v>
      </c>
      <c r="I177" s="5"/>
    </row>
    <row r="178" spans="1:9" s="4" customFormat="1" ht="15.75">
      <c r="A178" s="15" t="s">
        <v>5</v>
      </c>
      <c r="B178" s="95" t="s">
        <v>122</v>
      </c>
      <c r="C178" s="26" t="s">
        <v>114</v>
      </c>
      <c r="D178" s="26"/>
      <c r="E178" s="215"/>
      <c r="F178" s="25"/>
      <c r="G178" s="407">
        <f>G179+G185+G201</f>
        <v>473378.2</v>
      </c>
      <c r="H178" s="27">
        <f>H179+H185+H201</f>
        <v>102848</v>
      </c>
      <c r="I178" s="5"/>
    </row>
    <row r="179" spans="1:9" s="4" customFormat="1" ht="15.75">
      <c r="A179" s="109" t="s">
        <v>6</v>
      </c>
      <c r="B179" s="89" t="s">
        <v>122</v>
      </c>
      <c r="C179" s="29" t="s">
        <v>114</v>
      </c>
      <c r="D179" s="29" t="s">
        <v>17</v>
      </c>
      <c r="E179" s="132"/>
      <c r="F179" s="28"/>
      <c r="G179" s="122">
        <f>G180+G182</f>
        <v>345854.9</v>
      </c>
      <c r="H179" s="30">
        <f>H180+H182</f>
        <v>90</v>
      </c>
      <c r="I179" s="5"/>
    </row>
    <row r="180" spans="1:9" s="4" customFormat="1" ht="20.25" customHeight="1">
      <c r="A180" s="184" t="s">
        <v>237</v>
      </c>
      <c r="B180" s="89" t="s">
        <v>122</v>
      </c>
      <c r="C180" s="29" t="s">
        <v>114</v>
      </c>
      <c r="D180" s="38" t="s">
        <v>239</v>
      </c>
      <c r="E180" s="132"/>
      <c r="F180" s="37"/>
      <c r="G180" s="122">
        <f>G181</f>
        <v>8765.5</v>
      </c>
      <c r="H180" s="30">
        <f>H181</f>
        <v>0</v>
      </c>
      <c r="I180" s="5"/>
    </row>
    <row r="181" spans="1:9" s="4" customFormat="1" ht="15.75">
      <c r="A181" s="185" t="s">
        <v>155</v>
      </c>
      <c r="B181" s="89" t="s">
        <v>122</v>
      </c>
      <c r="C181" s="29" t="s">
        <v>114</v>
      </c>
      <c r="D181" s="38" t="s">
        <v>239</v>
      </c>
      <c r="E181" s="132" t="s">
        <v>156</v>
      </c>
      <c r="F181" s="37"/>
      <c r="G181" s="122">
        <f>'Прилож №5'!H267</f>
        <v>8765.5</v>
      </c>
      <c r="H181" s="68">
        <f>'Прилож №5'!I267</f>
        <v>0</v>
      </c>
      <c r="I181" s="5"/>
    </row>
    <row r="182" spans="1:9" s="4" customFormat="1" ht="15.75">
      <c r="A182" s="47" t="s">
        <v>18</v>
      </c>
      <c r="B182" s="89" t="s">
        <v>122</v>
      </c>
      <c r="C182" s="38" t="s">
        <v>114</v>
      </c>
      <c r="D182" s="38" t="s">
        <v>132</v>
      </c>
      <c r="E182" s="132"/>
      <c r="F182" s="37"/>
      <c r="G182" s="122">
        <f>G184+G183</f>
        <v>337089.4</v>
      </c>
      <c r="H182" s="30">
        <f>H184+H183</f>
        <v>90</v>
      </c>
      <c r="I182" s="5"/>
    </row>
    <row r="183" spans="1:9" s="4" customFormat="1" ht="15.75">
      <c r="A183" s="115" t="s">
        <v>103</v>
      </c>
      <c r="B183" s="89" t="s">
        <v>122</v>
      </c>
      <c r="C183" s="38" t="s">
        <v>114</v>
      </c>
      <c r="D183" s="38" t="s">
        <v>132</v>
      </c>
      <c r="E183" s="132" t="s">
        <v>56</v>
      </c>
      <c r="F183" s="37"/>
      <c r="G183" s="122">
        <f>'Прилож №5'!H269</f>
        <v>14</v>
      </c>
      <c r="H183" s="50"/>
      <c r="I183" s="5"/>
    </row>
    <row r="184" spans="1:9" s="4" customFormat="1" ht="15.75">
      <c r="A184" s="109" t="s">
        <v>155</v>
      </c>
      <c r="B184" s="84" t="s">
        <v>122</v>
      </c>
      <c r="C184" s="29" t="s">
        <v>114</v>
      </c>
      <c r="D184" s="29" t="s">
        <v>132</v>
      </c>
      <c r="E184" s="132" t="s">
        <v>156</v>
      </c>
      <c r="F184" s="28"/>
      <c r="G184" s="122">
        <f>'Прилож №5'!H270</f>
        <v>337075.4</v>
      </c>
      <c r="H184" s="39">
        <f>'Прилож №5'!I270</f>
        <v>90</v>
      </c>
      <c r="I184" s="5"/>
    </row>
    <row r="185" spans="1:9" s="4" customFormat="1" ht="15.75">
      <c r="A185" s="113" t="s">
        <v>228</v>
      </c>
      <c r="B185" s="49" t="s">
        <v>122</v>
      </c>
      <c r="C185" s="91" t="s">
        <v>114</v>
      </c>
      <c r="D185" s="49" t="s">
        <v>227</v>
      </c>
      <c r="E185" s="48"/>
      <c r="F185" s="257"/>
      <c r="G185" s="121">
        <f>G192+G186+G187</f>
        <v>102857.8</v>
      </c>
      <c r="H185" s="30">
        <f>H192+H186+H187</f>
        <v>102758</v>
      </c>
      <c r="I185" s="5"/>
    </row>
    <row r="186" spans="1:9" s="4" customFormat="1" ht="30" customHeight="1">
      <c r="A186" s="112" t="s">
        <v>386</v>
      </c>
      <c r="B186" s="49" t="s">
        <v>122</v>
      </c>
      <c r="C186" s="91" t="s">
        <v>114</v>
      </c>
      <c r="D186" s="49" t="s">
        <v>383</v>
      </c>
      <c r="E186" s="48"/>
      <c r="F186" s="257"/>
      <c r="G186" s="121">
        <f>G190</f>
        <v>99.8</v>
      </c>
      <c r="H186" s="68"/>
      <c r="I186" s="5"/>
    </row>
    <row r="187" spans="1:9" s="4" customFormat="1" ht="33.75" customHeight="1">
      <c r="A187" s="112" t="s">
        <v>484</v>
      </c>
      <c r="B187" s="29" t="s">
        <v>122</v>
      </c>
      <c r="C187" s="91" t="s">
        <v>114</v>
      </c>
      <c r="D187" s="29" t="s">
        <v>483</v>
      </c>
      <c r="E187" s="28"/>
      <c r="F187" s="58"/>
      <c r="G187" s="121">
        <f>G188+G189</f>
        <v>4298</v>
      </c>
      <c r="H187" s="30">
        <f>H188+H189</f>
        <v>4298</v>
      </c>
      <c r="I187" s="5"/>
    </row>
    <row r="188" spans="1:9" s="4" customFormat="1" ht="20.25" customHeight="1">
      <c r="A188" s="269" t="s">
        <v>322</v>
      </c>
      <c r="B188" s="29" t="s">
        <v>122</v>
      </c>
      <c r="C188" s="91" t="s">
        <v>114</v>
      </c>
      <c r="D188" s="29" t="s">
        <v>483</v>
      </c>
      <c r="E188" s="28" t="s">
        <v>319</v>
      </c>
      <c r="F188" s="58" t="s">
        <v>319</v>
      </c>
      <c r="G188" s="121">
        <f>'Прилож №5'!H274</f>
        <v>1848.1</v>
      </c>
      <c r="H188" s="50">
        <f>'Прилож №5'!I274</f>
        <v>1848.1</v>
      </c>
      <c r="I188" s="5"/>
    </row>
    <row r="189" spans="1:9" s="4" customFormat="1" ht="18.75" customHeight="1">
      <c r="A189" s="140" t="s">
        <v>323</v>
      </c>
      <c r="B189" s="29" t="s">
        <v>122</v>
      </c>
      <c r="C189" s="91" t="s">
        <v>114</v>
      </c>
      <c r="D189" s="29" t="s">
        <v>483</v>
      </c>
      <c r="E189" s="37" t="s">
        <v>320</v>
      </c>
      <c r="F189" s="58" t="s">
        <v>320</v>
      </c>
      <c r="G189" s="121">
        <f>'Прилож №5'!H275</f>
        <v>2449.9</v>
      </c>
      <c r="H189" s="50">
        <f>'Прилож №5'!I275</f>
        <v>2449.9</v>
      </c>
      <c r="I189" s="5"/>
    </row>
    <row r="190" spans="1:9" s="4" customFormat="1" ht="72">
      <c r="A190" s="112" t="s">
        <v>387</v>
      </c>
      <c r="B190" s="49" t="s">
        <v>122</v>
      </c>
      <c r="C190" s="91" t="s">
        <v>114</v>
      </c>
      <c r="D190" s="91" t="s">
        <v>385</v>
      </c>
      <c r="E190" s="29"/>
      <c r="F190" s="57"/>
      <c r="G190" s="121">
        <f>G191</f>
        <v>99.8</v>
      </c>
      <c r="H190" s="50"/>
      <c r="I190" s="5"/>
    </row>
    <row r="191" spans="1:9" s="4" customFormat="1" ht="15.75">
      <c r="A191" s="140" t="s">
        <v>322</v>
      </c>
      <c r="B191" s="49" t="s">
        <v>122</v>
      </c>
      <c r="C191" s="91" t="s">
        <v>114</v>
      </c>
      <c r="D191" s="91" t="s">
        <v>384</v>
      </c>
      <c r="E191" s="49" t="s">
        <v>319</v>
      </c>
      <c r="F191" s="57"/>
      <c r="G191" s="271">
        <f>'Прилож №5'!H277</f>
        <v>99.8</v>
      </c>
      <c r="H191" s="50"/>
      <c r="I191" s="5"/>
    </row>
    <row r="192" spans="1:9" s="4" customFormat="1" ht="43.5">
      <c r="A192" s="236" t="s">
        <v>481</v>
      </c>
      <c r="B192" s="309" t="s">
        <v>122</v>
      </c>
      <c r="C192" s="239" t="s">
        <v>114</v>
      </c>
      <c r="D192" s="239" t="s">
        <v>477</v>
      </c>
      <c r="E192" s="309"/>
      <c r="F192" s="270"/>
      <c r="G192" s="66">
        <f>G193+G196+G199</f>
        <v>98460</v>
      </c>
      <c r="H192" s="66">
        <f>H193+H196+H199</f>
        <v>98460</v>
      </c>
      <c r="I192" s="5"/>
    </row>
    <row r="193" spans="1:9" s="4" customFormat="1" ht="15.75">
      <c r="A193" s="168" t="s">
        <v>293</v>
      </c>
      <c r="B193" s="147" t="s">
        <v>122</v>
      </c>
      <c r="C193" s="239" t="s">
        <v>114</v>
      </c>
      <c r="D193" s="239" t="s">
        <v>292</v>
      </c>
      <c r="E193" s="309"/>
      <c r="F193" s="270"/>
      <c r="G193" s="66">
        <f>G194+G195</f>
        <v>67269</v>
      </c>
      <c r="H193" s="66">
        <f>H194+H195</f>
        <v>67269</v>
      </c>
      <c r="I193" s="5"/>
    </row>
    <row r="194" spans="1:9" s="4" customFormat="1" ht="44.25">
      <c r="A194" s="325" t="s">
        <v>441</v>
      </c>
      <c r="B194" s="138" t="s">
        <v>122</v>
      </c>
      <c r="C194" s="242" t="s">
        <v>114</v>
      </c>
      <c r="D194" s="182" t="s">
        <v>292</v>
      </c>
      <c r="E194" s="309" t="s">
        <v>425</v>
      </c>
      <c r="F194" s="270" t="s">
        <v>44</v>
      </c>
      <c r="G194" s="144">
        <f>'Прилож №5'!H157</f>
        <v>60750</v>
      </c>
      <c r="H194" s="395">
        <f>'Прилож №5'!I157</f>
        <v>60750</v>
      </c>
      <c r="I194" s="5"/>
    </row>
    <row r="195" spans="1:9" s="4" customFormat="1" ht="44.25">
      <c r="A195" s="71" t="s">
        <v>490</v>
      </c>
      <c r="B195" s="138" t="s">
        <v>122</v>
      </c>
      <c r="C195" s="242" t="s">
        <v>114</v>
      </c>
      <c r="D195" s="138" t="s">
        <v>292</v>
      </c>
      <c r="E195" s="309" t="s">
        <v>425</v>
      </c>
      <c r="F195" s="270"/>
      <c r="G195" s="144">
        <f>'Прилож №5'!H158</f>
        <v>6519</v>
      </c>
      <c r="H195" s="144">
        <f>'Прилож №5'!I158</f>
        <v>6519</v>
      </c>
      <c r="I195" s="5"/>
    </row>
    <row r="196" spans="1:9" s="4" customFormat="1" ht="29.25">
      <c r="A196" s="402" t="s">
        <v>478</v>
      </c>
      <c r="B196" s="138" t="s">
        <v>122</v>
      </c>
      <c r="C196" s="139" t="s">
        <v>114</v>
      </c>
      <c r="D196" s="138" t="s">
        <v>482</v>
      </c>
      <c r="E196" s="188"/>
      <c r="F196" s="403"/>
      <c r="G196" s="66">
        <f>'Прилож №5'!H279</f>
        <v>30795</v>
      </c>
      <c r="H196" s="66">
        <f>'Прилож №5'!I279</f>
        <v>30795</v>
      </c>
      <c r="I196" s="5"/>
    </row>
    <row r="197" spans="1:9" s="4" customFormat="1" ht="15.75">
      <c r="A197" s="317" t="s">
        <v>322</v>
      </c>
      <c r="B197" s="138" t="s">
        <v>122</v>
      </c>
      <c r="C197" s="139" t="s">
        <v>114</v>
      </c>
      <c r="D197" s="138" t="s">
        <v>482</v>
      </c>
      <c r="E197" s="188" t="s">
        <v>319</v>
      </c>
      <c r="F197" s="403"/>
      <c r="G197" s="66">
        <f>'Прилож №5'!H280</f>
        <v>17417.3</v>
      </c>
      <c r="H197" s="66">
        <f>'Прилож №5'!I280</f>
        <v>17417.3</v>
      </c>
      <c r="I197" s="5"/>
    </row>
    <row r="198" spans="1:9" s="4" customFormat="1" ht="15.75">
      <c r="A198" s="317" t="s">
        <v>323</v>
      </c>
      <c r="B198" s="138" t="s">
        <v>122</v>
      </c>
      <c r="C198" s="139" t="s">
        <v>114</v>
      </c>
      <c r="D198" s="138" t="s">
        <v>482</v>
      </c>
      <c r="E198" s="188" t="s">
        <v>320</v>
      </c>
      <c r="F198" s="403"/>
      <c r="G198" s="66">
        <f>'Прилож №5'!H281</f>
        <v>13377.7</v>
      </c>
      <c r="H198" s="66">
        <f>'Прилож №5'!I281</f>
        <v>13377.7</v>
      </c>
      <c r="I198" s="5"/>
    </row>
    <row r="199" spans="1:9" s="4" customFormat="1" ht="36.75" customHeight="1">
      <c r="A199" s="402" t="s">
        <v>489</v>
      </c>
      <c r="B199" s="138" t="s">
        <v>122</v>
      </c>
      <c r="C199" s="139" t="s">
        <v>114</v>
      </c>
      <c r="D199" s="138" t="s">
        <v>488</v>
      </c>
      <c r="E199" s="188"/>
      <c r="F199" s="403"/>
      <c r="G199" s="66">
        <f>G200</f>
        <v>396</v>
      </c>
      <c r="H199" s="66">
        <f>H200</f>
        <v>396</v>
      </c>
      <c r="I199" s="5"/>
    </row>
    <row r="200" spans="1:9" s="4" customFormat="1" ht="15.75">
      <c r="A200" s="191" t="s">
        <v>326</v>
      </c>
      <c r="B200" s="138" t="s">
        <v>122</v>
      </c>
      <c r="C200" s="139" t="s">
        <v>114</v>
      </c>
      <c r="D200" s="138" t="s">
        <v>488</v>
      </c>
      <c r="E200" s="188" t="s">
        <v>325</v>
      </c>
      <c r="F200" s="403" t="s">
        <v>325</v>
      </c>
      <c r="G200" s="66">
        <f>'Прилож №5'!H283</f>
        <v>396</v>
      </c>
      <c r="H200" s="66">
        <f>'Прилож №5'!I283</f>
        <v>396</v>
      </c>
      <c r="I200" s="5"/>
    </row>
    <row r="201" spans="1:9" s="4" customFormat="1" ht="15.75">
      <c r="A201" s="109" t="s">
        <v>83</v>
      </c>
      <c r="B201" s="49" t="s">
        <v>122</v>
      </c>
      <c r="C201" s="48" t="s">
        <v>114</v>
      </c>
      <c r="D201" s="38" t="s">
        <v>84</v>
      </c>
      <c r="E201" s="154"/>
      <c r="F201" s="56"/>
      <c r="G201" s="66">
        <f>G202</f>
        <v>24665.5</v>
      </c>
      <c r="H201" s="39"/>
      <c r="I201" s="5"/>
    </row>
    <row r="202" spans="1:9" s="4" customFormat="1" ht="29.25">
      <c r="A202" s="168" t="s">
        <v>298</v>
      </c>
      <c r="B202" s="138" t="s">
        <v>122</v>
      </c>
      <c r="C202" s="139" t="s">
        <v>114</v>
      </c>
      <c r="D202" s="29" t="s">
        <v>265</v>
      </c>
      <c r="E202" s="154"/>
      <c r="F202" s="56"/>
      <c r="G202" s="237">
        <f>G203+G204+G205</f>
        <v>24665.5</v>
      </c>
      <c r="H202" s="30"/>
      <c r="I202" s="5"/>
    </row>
    <row r="203" spans="1:9" s="4" customFormat="1" ht="43.5">
      <c r="A203" s="111" t="s">
        <v>440</v>
      </c>
      <c r="B203" s="309" t="s">
        <v>122</v>
      </c>
      <c r="C203" s="141" t="s">
        <v>114</v>
      </c>
      <c r="D203" s="91" t="s">
        <v>265</v>
      </c>
      <c r="E203" s="49" t="s">
        <v>44</v>
      </c>
      <c r="F203" s="270" t="s">
        <v>44</v>
      </c>
      <c r="G203" s="66">
        <f>'Прилож №5'!H161</f>
        <v>22165.5</v>
      </c>
      <c r="H203" s="199"/>
      <c r="I203" s="5"/>
    </row>
    <row r="204" spans="1:9" s="4" customFormat="1" ht="44.25">
      <c r="A204" s="71" t="s">
        <v>474</v>
      </c>
      <c r="B204" s="138" t="s">
        <v>122</v>
      </c>
      <c r="C204" s="141" t="s">
        <v>114</v>
      </c>
      <c r="D204" s="29" t="s">
        <v>265</v>
      </c>
      <c r="E204" s="48" t="s">
        <v>44</v>
      </c>
      <c r="F204" s="335"/>
      <c r="G204" s="121">
        <f>'Прилож №5'!H162</f>
        <v>0</v>
      </c>
      <c r="H204" s="39"/>
      <c r="I204" s="5"/>
    </row>
    <row r="205" spans="1:9" s="4" customFormat="1" ht="58.5">
      <c r="A205" s="71" t="s">
        <v>465</v>
      </c>
      <c r="B205" s="138" t="s">
        <v>122</v>
      </c>
      <c r="C205" s="141" t="s">
        <v>114</v>
      </c>
      <c r="D205" s="29" t="s">
        <v>265</v>
      </c>
      <c r="E205" s="48" t="s">
        <v>44</v>
      </c>
      <c r="F205" s="335"/>
      <c r="G205" s="122">
        <f>'Прилож №5'!H163</f>
        <v>2500</v>
      </c>
      <c r="H205" s="39"/>
      <c r="I205" s="5"/>
    </row>
    <row r="206" spans="1:9" s="4" customFormat="1" ht="15.75">
      <c r="A206" s="53" t="s">
        <v>7</v>
      </c>
      <c r="B206" s="96" t="s">
        <v>122</v>
      </c>
      <c r="C206" s="64" t="s">
        <v>115</v>
      </c>
      <c r="D206" s="33"/>
      <c r="E206" s="155"/>
      <c r="F206" s="65"/>
      <c r="G206" s="165">
        <f>G207+G224+G237+G231</f>
        <v>531328.2</v>
      </c>
      <c r="H206" s="210">
        <f>H207+H224+H237+H231</f>
        <v>356903</v>
      </c>
      <c r="I206" s="5"/>
    </row>
    <row r="207" spans="1:9" s="4" customFormat="1" ht="33.75" customHeight="1">
      <c r="A207" s="114" t="s">
        <v>190</v>
      </c>
      <c r="B207" s="84" t="s">
        <v>122</v>
      </c>
      <c r="C207" s="29" t="s">
        <v>115</v>
      </c>
      <c r="D207" s="29" t="s">
        <v>19</v>
      </c>
      <c r="E207" s="157"/>
      <c r="F207" s="37"/>
      <c r="G207" s="166">
        <f>G208+G212+G219+G221+G215</f>
        <v>388900.5</v>
      </c>
      <c r="H207" s="30">
        <f>H208+H212+H219+H221+H215</f>
        <v>321948</v>
      </c>
      <c r="I207" s="1"/>
    </row>
    <row r="208" spans="1:9" s="4" customFormat="1" ht="144.75" customHeight="1">
      <c r="A208" s="114" t="s">
        <v>331</v>
      </c>
      <c r="B208" s="38" t="s">
        <v>122</v>
      </c>
      <c r="C208" s="38" t="s">
        <v>115</v>
      </c>
      <c r="D208" s="38" t="s">
        <v>324</v>
      </c>
      <c r="E208" s="38"/>
      <c r="F208" s="69"/>
      <c r="G208" s="39">
        <f>G210+G211+G209</f>
        <v>296227.8</v>
      </c>
      <c r="H208" s="39">
        <f>H210+H211+H209</f>
        <v>296209</v>
      </c>
      <c r="I208" s="1"/>
    </row>
    <row r="209" spans="1:9" s="4" customFormat="1" ht="20.25" customHeight="1">
      <c r="A209" s="185" t="s">
        <v>155</v>
      </c>
      <c r="B209" s="38" t="s">
        <v>122</v>
      </c>
      <c r="C209" s="38" t="s">
        <v>115</v>
      </c>
      <c r="D209" s="38" t="s">
        <v>324</v>
      </c>
      <c r="E209" s="37" t="s">
        <v>156</v>
      </c>
      <c r="F209" s="69" t="s">
        <v>156</v>
      </c>
      <c r="G209" s="39">
        <f>'Прилож №5'!H287</f>
        <v>777</v>
      </c>
      <c r="H209" s="39">
        <f>'Прилож №5'!I287</f>
        <v>777</v>
      </c>
      <c r="I209" s="1"/>
    </row>
    <row r="210" spans="1:9" s="4" customFormat="1" ht="16.5" customHeight="1">
      <c r="A210" s="269" t="s">
        <v>322</v>
      </c>
      <c r="B210" s="38" t="s">
        <v>122</v>
      </c>
      <c r="C210" s="38" t="s">
        <v>115</v>
      </c>
      <c r="D210" s="38" t="s">
        <v>324</v>
      </c>
      <c r="E210" s="38" t="s">
        <v>319</v>
      </c>
      <c r="F210" s="69" t="s">
        <v>319</v>
      </c>
      <c r="G210" s="30">
        <f>'Прилож №5'!H288</f>
        <v>54366.8</v>
      </c>
      <c r="H210" s="30">
        <f>'Прилож №5'!I288</f>
        <v>54348</v>
      </c>
      <c r="I210" s="1"/>
    </row>
    <row r="211" spans="1:9" s="4" customFormat="1" ht="17.25" customHeight="1">
      <c r="A211" s="269" t="s">
        <v>323</v>
      </c>
      <c r="B211" s="38" t="s">
        <v>122</v>
      </c>
      <c r="C211" s="38" t="s">
        <v>115</v>
      </c>
      <c r="D211" s="38" t="s">
        <v>324</v>
      </c>
      <c r="E211" s="38" t="s">
        <v>320</v>
      </c>
      <c r="F211" s="69" t="s">
        <v>320</v>
      </c>
      <c r="G211" s="30">
        <f>'Прилож №5'!H289</f>
        <v>241084</v>
      </c>
      <c r="H211" s="30">
        <f>'Прилож №5'!I289</f>
        <v>241084</v>
      </c>
      <c r="I211" s="1"/>
    </row>
    <row r="212" spans="1:9" s="4" customFormat="1" ht="57.75" customHeight="1">
      <c r="A212" s="201" t="s">
        <v>330</v>
      </c>
      <c r="B212" s="38" t="s">
        <v>122</v>
      </c>
      <c r="C212" s="38" t="s">
        <v>115</v>
      </c>
      <c r="D212" s="38" t="s">
        <v>327</v>
      </c>
      <c r="E212" s="38"/>
      <c r="F212" s="69"/>
      <c r="G212" s="30">
        <f>G213+G214</f>
        <v>16519.199999999997</v>
      </c>
      <c r="H212" s="30">
        <f>H213+H214</f>
        <v>16519</v>
      </c>
      <c r="I212" s="1"/>
    </row>
    <row r="213" spans="1:9" s="4" customFormat="1" ht="16.5" customHeight="1">
      <c r="A213" s="269" t="s">
        <v>322</v>
      </c>
      <c r="B213" s="38" t="s">
        <v>122</v>
      </c>
      <c r="C213" s="38" t="s">
        <v>115</v>
      </c>
      <c r="D213" s="38" t="s">
        <v>327</v>
      </c>
      <c r="E213" s="38" t="s">
        <v>319</v>
      </c>
      <c r="F213" s="69" t="s">
        <v>319</v>
      </c>
      <c r="G213" s="30">
        <f>'Прилож №5'!H295</f>
        <v>3345.3999999999996</v>
      </c>
      <c r="H213" s="30">
        <f>'Прилож №5'!I295</f>
        <v>3345.2</v>
      </c>
      <c r="I213" s="1"/>
    </row>
    <row r="214" spans="1:9" s="4" customFormat="1" ht="18" customHeight="1">
      <c r="A214" s="269" t="s">
        <v>323</v>
      </c>
      <c r="B214" s="38" t="s">
        <v>122</v>
      </c>
      <c r="C214" s="38" t="s">
        <v>115</v>
      </c>
      <c r="D214" s="38" t="s">
        <v>327</v>
      </c>
      <c r="E214" s="38" t="s">
        <v>320</v>
      </c>
      <c r="F214" s="69" t="s">
        <v>320</v>
      </c>
      <c r="G214" s="30">
        <f>'Прилож №5'!H296</f>
        <v>13173.8</v>
      </c>
      <c r="H214" s="30">
        <f>'Прилож №5'!I296</f>
        <v>13173.8</v>
      </c>
      <c r="I214" s="1"/>
    </row>
    <row r="215" spans="1:9" s="4" customFormat="1" ht="144.75" customHeight="1">
      <c r="A215" s="114" t="s">
        <v>377</v>
      </c>
      <c r="B215" s="38" t="s">
        <v>122</v>
      </c>
      <c r="C215" s="38" t="s">
        <v>115</v>
      </c>
      <c r="D215" s="38" t="s">
        <v>376</v>
      </c>
      <c r="E215" s="37"/>
      <c r="F215" s="69"/>
      <c r="G215" s="30">
        <f>G216+G217+G218</f>
        <v>8250</v>
      </c>
      <c r="H215" s="30">
        <f>H216+H217+H218</f>
        <v>8250</v>
      </c>
      <c r="I215" s="1"/>
    </row>
    <row r="216" spans="1:9" s="4" customFormat="1" ht="17.25" customHeight="1">
      <c r="A216" s="269" t="s">
        <v>326</v>
      </c>
      <c r="B216" s="38" t="s">
        <v>122</v>
      </c>
      <c r="C216" s="38" t="s">
        <v>115</v>
      </c>
      <c r="D216" s="38" t="s">
        <v>376</v>
      </c>
      <c r="E216" s="37" t="s">
        <v>325</v>
      </c>
      <c r="F216" s="69" t="s">
        <v>325</v>
      </c>
      <c r="G216" s="30">
        <f>'Прилож №5'!H291</f>
        <v>7104</v>
      </c>
      <c r="H216" s="30">
        <f>'Прилож №5'!I291</f>
        <v>7104</v>
      </c>
      <c r="I216" s="1"/>
    </row>
    <row r="217" spans="1:9" s="4" customFormat="1" ht="17.25" customHeight="1">
      <c r="A217" s="269" t="s">
        <v>322</v>
      </c>
      <c r="B217" s="38" t="s">
        <v>122</v>
      </c>
      <c r="C217" s="38" t="s">
        <v>115</v>
      </c>
      <c r="D217" s="38" t="s">
        <v>376</v>
      </c>
      <c r="E217" s="37" t="s">
        <v>319</v>
      </c>
      <c r="F217" s="69" t="s">
        <v>319</v>
      </c>
      <c r="G217" s="30">
        <f>'Прилож №5'!H292</f>
        <v>127.3</v>
      </c>
      <c r="H217" s="30">
        <f>'Прилож №5'!I292</f>
        <v>127.3</v>
      </c>
      <c r="I217" s="1"/>
    </row>
    <row r="218" spans="1:9" s="4" customFormat="1" ht="17.25" customHeight="1">
      <c r="A218" s="269" t="s">
        <v>323</v>
      </c>
      <c r="B218" s="38" t="s">
        <v>122</v>
      </c>
      <c r="C218" s="38" t="s">
        <v>115</v>
      </c>
      <c r="D218" s="38" t="s">
        <v>376</v>
      </c>
      <c r="E218" s="37" t="s">
        <v>320</v>
      </c>
      <c r="F218" s="69" t="s">
        <v>320</v>
      </c>
      <c r="G218" s="30">
        <f>'Прилож №5'!H293</f>
        <v>1018.7</v>
      </c>
      <c r="H218" s="30">
        <f>'Прилож №5'!I293</f>
        <v>1018.7</v>
      </c>
      <c r="I218" s="1"/>
    </row>
    <row r="219" spans="1:9" s="4" customFormat="1" ht="21.75" customHeight="1">
      <c r="A219" s="184" t="s">
        <v>237</v>
      </c>
      <c r="B219" s="89" t="s">
        <v>122</v>
      </c>
      <c r="C219" s="38" t="s">
        <v>115</v>
      </c>
      <c r="D219" s="38" t="s">
        <v>240</v>
      </c>
      <c r="E219" s="29"/>
      <c r="F219" s="56"/>
      <c r="G219" s="30">
        <f>G220</f>
        <v>3120.2</v>
      </c>
      <c r="H219" s="30">
        <f>H220</f>
        <v>0</v>
      </c>
      <c r="I219" s="1"/>
    </row>
    <row r="220" spans="1:9" s="4" customFormat="1" ht="18" customHeight="1">
      <c r="A220" s="185" t="s">
        <v>155</v>
      </c>
      <c r="B220" s="89" t="s">
        <v>122</v>
      </c>
      <c r="C220" s="38" t="s">
        <v>115</v>
      </c>
      <c r="D220" s="38" t="s">
        <v>240</v>
      </c>
      <c r="E220" s="217" t="s">
        <v>156</v>
      </c>
      <c r="F220" s="57" t="s">
        <v>156</v>
      </c>
      <c r="G220" s="271">
        <f>'Прилож №5'!H298</f>
        <v>3120.2</v>
      </c>
      <c r="H220" s="68">
        <f>'Прилож №5'!I298</f>
        <v>0</v>
      </c>
      <c r="I220" s="1"/>
    </row>
    <row r="221" spans="1:9" s="4" customFormat="1" ht="15.75">
      <c r="A221" s="47" t="s">
        <v>18</v>
      </c>
      <c r="B221" s="84" t="s">
        <v>122</v>
      </c>
      <c r="C221" s="29" t="s">
        <v>115</v>
      </c>
      <c r="D221" s="29" t="s">
        <v>133</v>
      </c>
      <c r="E221" s="132"/>
      <c r="F221" s="28"/>
      <c r="G221" s="122">
        <f>G223+G222</f>
        <v>64783.3</v>
      </c>
      <c r="H221" s="30">
        <f>H223+H222</f>
        <v>970</v>
      </c>
      <c r="I221" s="1"/>
    </row>
    <row r="222" spans="1:9" s="4" customFormat="1" ht="15.75">
      <c r="A222" s="115" t="s">
        <v>103</v>
      </c>
      <c r="B222" s="84" t="s">
        <v>122</v>
      </c>
      <c r="C222" s="29" t="s">
        <v>115</v>
      </c>
      <c r="D222" s="29" t="s">
        <v>133</v>
      </c>
      <c r="E222" s="132" t="s">
        <v>56</v>
      </c>
      <c r="F222" s="28"/>
      <c r="G222" s="122">
        <f>'Прилож №5'!H300</f>
        <v>441.3</v>
      </c>
      <c r="H222" s="30">
        <f>'Прилож №5'!I300</f>
        <v>0</v>
      </c>
      <c r="I222" s="1"/>
    </row>
    <row r="223" spans="1:9" s="4" customFormat="1" ht="15.75">
      <c r="A223" s="185" t="s">
        <v>155</v>
      </c>
      <c r="B223" s="141" t="s">
        <v>122</v>
      </c>
      <c r="C223" s="138" t="s">
        <v>115</v>
      </c>
      <c r="D223" s="138" t="s">
        <v>133</v>
      </c>
      <c r="E223" s="218" t="s">
        <v>156</v>
      </c>
      <c r="F223" s="139"/>
      <c r="G223" s="190">
        <f>'Прилож №5'!H301</f>
        <v>64342</v>
      </c>
      <c r="H223" s="237">
        <f>'Прилож №5'!I301</f>
        <v>970</v>
      </c>
      <c r="I223" s="1"/>
    </row>
    <row r="224" spans="1:9" s="4" customFormat="1" ht="15.75">
      <c r="A224" s="109" t="s">
        <v>21</v>
      </c>
      <c r="B224" s="84" t="s">
        <v>122</v>
      </c>
      <c r="C224" s="29" t="s">
        <v>115</v>
      </c>
      <c r="D224" s="29" t="s">
        <v>22</v>
      </c>
      <c r="E224" s="132"/>
      <c r="F224" s="28"/>
      <c r="G224" s="122">
        <f>G225+G228</f>
        <v>107732.70000000001</v>
      </c>
      <c r="H224" s="30">
        <f>H225+H228</f>
        <v>260</v>
      </c>
      <c r="I224" s="1"/>
    </row>
    <row r="225" spans="1:9" s="4" customFormat="1" ht="18" customHeight="1">
      <c r="A225" s="184" t="s">
        <v>237</v>
      </c>
      <c r="B225" s="84" t="s">
        <v>122</v>
      </c>
      <c r="C225" s="29" t="s">
        <v>115</v>
      </c>
      <c r="D225" s="29" t="s">
        <v>241</v>
      </c>
      <c r="E225" s="132"/>
      <c r="F225" s="56"/>
      <c r="G225" s="122">
        <f>G227+G226</f>
        <v>532.7</v>
      </c>
      <c r="H225" s="30">
        <f>H227</f>
        <v>0</v>
      </c>
      <c r="I225" s="1"/>
    </row>
    <row r="226" spans="1:9" s="4" customFormat="1" ht="15.75">
      <c r="A226" s="115" t="s">
        <v>103</v>
      </c>
      <c r="B226" s="84" t="s">
        <v>122</v>
      </c>
      <c r="C226" s="29" t="s">
        <v>115</v>
      </c>
      <c r="D226" s="29" t="s">
        <v>241</v>
      </c>
      <c r="E226" s="132" t="s">
        <v>56</v>
      </c>
      <c r="F226" s="56"/>
      <c r="G226" s="122">
        <f>'Прилож №5'!H371</f>
        <v>0</v>
      </c>
      <c r="H226" s="30"/>
      <c r="I226" s="1"/>
    </row>
    <row r="227" spans="1:9" s="4" customFormat="1" ht="15.75">
      <c r="A227" s="185" t="s">
        <v>155</v>
      </c>
      <c r="B227" s="84" t="s">
        <v>122</v>
      </c>
      <c r="C227" s="29" t="s">
        <v>115</v>
      </c>
      <c r="D227" s="29" t="s">
        <v>241</v>
      </c>
      <c r="E227" s="132" t="s">
        <v>156</v>
      </c>
      <c r="F227" s="56" t="s">
        <v>156</v>
      </c>
      <c r="G227" s="122">
        <f>'Прилож №5'!H304+'Прилож №5'!H372</f>
        <v>532.7</v>
      </c>
      <c r="H227" s="30">
        <f>'Прилож №5'!I304+'Прилож №5'!I372</f>
        <v>0</v>
      </c>
      <c r="I227" s="1"/>
    </row>
    <row r="228" spans="1:9" s="4" customFormat="1" ht="15.75">
      <c r="A228" s="109" t="s">
        <v>18</v>
      </c>
      <c r="B228" s="84" t="s">
        <v>122</v>
      </c>
      <c r="C228" s="29" t="s">
        <v>115</v>
      </c>
      <c r="D228" s="29" t="s">
        <v>134</v>
      </c>
      <c r="E228" s="132"/>
      <c r="F228" s="28"/>
      <c r="G228" s="122">
        <f>G230+G229</f>
        <v>107200.00000000001</v>
      </c>
      <c r="H228" s="30">
        <f>H230</f>
        <v>260</v>
      </c>
      <c r="I228" s="1"/>
    </row>
    <row r="229" spans="1:9" s="4" customFormat="1" ht="15.75">
      <c r="A229" s="115" t="s">
        <v>103</v>
      </c>
      <c r="B229" s="84" t="s">
        <v>122</v>
      </c>
      <c r="C229" s="29" t="s">
        <v>115</v>
      </c>
      <c r="D229" s="29" t="s">
        <v>134</v>
      </c>
      <c r="E229" s="132" t="s">
        <v>56</v>
      </c>
      <c r="F229" s="28"/>
      <c r="G229" s="122">
        <f>'Прилож №5'!H306+'Прилож №5'!H374</f>
        <v>34.6</v>
      </c>
      <c r="H229" s="39"/>
      <c r="I229" s="1"/>
    </row>
    <row r="230" spans="1:9" s="4" customFormat="1" ht="15.75">
      <c r="A230" s="185" t="s">
        <v>155</v>
      </c>
      <c r="B230" s="84" t="s">
        <v>122</v>
      </c>
      <c r="C230" s="29" t="s">
        <v>115</v>
      </c>
      <c r="D230" s="29" t="s">
        <v>134</v>
      </c>
      <c r="E230" s="132" t="s">
        <v>156</v>
      </c>
      <c r="F230" s="28"/>
      <c r="G230" s="122">
        <f>'Прилож №5'!H307+'Прилож №5'!H375</f>
        <v>107165.40000000001</v>
      </c>
      <c r="H230" s="39">
        <f>'Прилож №5'!I307+'Прилож №5'!I375</f>
        <v>260</v>
      </c>
      <c r="I230" s="1"/>
    </row>
    <row r="231" spans="1:9" s="4" customFormat="1" ht="15.75">
      <c r="A231" s="269" t="s">
        <v>321</v>
      </c>
      <c r="B231" s="29" t="s">
        <v>122</v>
      </c>
      <c r="C231" s="29" t="s">
        <v>115</v>
      </c>
      <c r="D231" s="38" t="s">
        <v>318</v>
      </c>
      <c r="E231" s="43"/>
      <c r="F231" s="69"/>
      <c r="G231" s="122">
        <f>G232+G235</f>
        <v>27930</v>
      </c>
      <c r="H231" s="30">
        <f>H232+H235</f>
        <v>27930</v>
      </c>
      <c r="I231" s="1"/>
    </row>
    <row r="232" spans="1:9" s="4" customFormat="1" ht="29.25">
      <c r="A232" s="201" t="s">
        <v>432</v>
      </c>
      <c r="B232" s="29" t="s">
        <v>122</v>
      </c>
      <c r="C232" s="29" t="s">
        <v>115</v>
      </c>
      <c r="D232" s="38" t="s">
        <v>431</v>
      </c>
      <c r="E232" s="29"/>
      <c r="F232" s="69"/>
      <c r="G232" s="122">
        <f>G233+G234</f>
        <v>263</v>
      </c>
      <c r="H232" s="50">
        <f>H233+H234</f>
        <v>263</v>
      </c>
      <c r="I232" s="1"/>
    </row>
    <row r="233" spans="1:9" s="4" customFormat="1" ht="15.75">
      <c r="A233" s="269" t="s">
        <v>322</v>
      </c>
      <c r="B233" s="29" t="s">
        <v>122</v>
      </c>
      <c r="C233" s="29" t="s">
        <v>115</v>
      </c>
      <c r="D233" s="38" t="s">
        <v>431</v>
      </c>
      <c r="E233" s="43" t="s">
        <v>319</v>
      </c>
      <c r="F233" s="69" t="s">
        <v>319</v>
      </c>
      <c r="G233" s="122">
        <f>'Прилож №5'!H310</f>
        <v>105</v>
      </c>
      <c r="H233" s="30">
        <f>'Прилож №5'!I310</f>
        <v>105</v>
      </c>
      <c r="I233" s="1"/>
    </row>
    <row r="234" spans="1:9" s="4" customFormat="1" ht="15.75">
      <c r="A234" s="269" t="s">
        <v>323</v>
      </c>
      <c r="B234" s="29" t="s">
        <v>122</v>
      </c>
      <c r="C234" s="29" t="s">
        <v>115</v>
      </c>
      <c r="D234" s="38" t="s">
        <v>431</v>
      </c>
      <c r="E234" s="29" t="s">
        <v>320</v>
      </c>
      <c r="F234" s="69" t="s">
        <v>320</v>
      </c>
      <c r="G234" s="122">
        <f>'Прилож №5'!H311</f>
        <v>158</v>
      </c>
      <c r="H234" s="30">
        <f>'Прилож №5'!I311</f>
        <v>158</v>
      </c>
      <c r="I234" s="1"/>
    </row>
    <row r="235" spans="1:9" s="4" customFormat="1" ht="15.75">
      <c r="A235" s="140" t="s">
        <v>410</v>
      </c>
      <c r="B235" s="29" t="s">
        <v>122</v>
      </c>
      <c r="C235" s="29" t="s">
        <v>115</v>
      </c>
      <c r="D235" s="38" t="s">
        <v>409</v>
      </c>
      <c r="E235" s="29"/>
      <c r="F235" s="69"/>
      <c r="G235" s="122">
        <f>G236</f>
        <v>27667</v>
      </c>
      <c r="H235" s="30">
        <f>H236</f>
        <v>27667</v>
      </c>
      <c r="I235" s="1"/>
    </row>
    <row r="236" spans="1:9" s="4" customFormat="1" ht="15.75">
      <c r="A236" s="186" t="s">
        <v>326</v>
      </c>
      <c r="B236" s="29" t="s">
        <v>122</v>
      </c>
      <c r="C236" s="29" t="s">
        <v>115</v>
      </c>
      <c r="D236" s="38" t="s">
        <v>409</v>
      </c>
      <c r="E236" s="43" t="s">
        <v>325</v>
      </c>
      <c r="F236" s="69" t="s">
        <v>158</v>
      </c>
      <c r="G236" s="122">
        <f>'Прилож №5'!H313</f>
        <v>27667</v>
      </c>
      <c r="H236" s="30">
        <f>'Прилож №5'!I313</f>
        <v>27667</v>
      </c>
      <c r="I236" s="1"/>
    </row>
    <row r="237" spans="1:9" s="4" customFormat="1" ht="15.75">
      <c r="A237" s="110" t="s">
        <v>79</v>
      </c>
      <c r="B237" s="84" t="s">
        <v>122</v>
      </c>
      <c r="C237" s="29" t="s">
        <v>115</v>
      </c>
      <c r="D237" s="29" t="s">
        <v>63</v>
      </c>
      <c r="E237" s="132"/>
      <c r="F237" s="149"/>
      <c r="G237" s="122">
        <f>G238+G241</f>
        <v>6765</v>
      </c>
      <c r="H237" s="30">
        <f>H238+H241</f>
        <v>6765</v>
      </c>
      <c r="I237" s="1"/>
    </row>
    <row r="238" spans="1:9" s="4" customFormat="1" ht="29.25">
      <c r="A238" s="114" t="s">
        <v>187</v>
      </c>
      <c r="B238" s="91" t="s">
        <v>122</v>
      </c>
      <c r="C238" s="29" t="s">
        <v>115</v>
      </c>
      <c r="D238" s="49" t="s">
        <v>188</v>
      </c>
      <c r="E238" s="132"/>
      <c r="F238" s="150"/>
      <c r="G238" s="121">
        <f>G239+G240</f>
        <v>4765</v>
      </c>
      <c r="H238" s="50">
        <f>H239+H240</f>
        <v>4765</v>
      </c>
      <c r="I238" s="1"/>
    </row>
    <row r="239" spans="1:9" s="4" customFormat="1" ht="15.75">
      <c r="A239" s="269" t="s">
        <v>322</v>
      </c>
      <c r="B239" s="84" t="s">
        <v>122</v>
      </c>
      <c r="C239" s="29" t="s">
        <v>115</v>
      </c>
      <c r="D239" s="29" t="s">
        <v>188</v>
      </c>
      <c r="E239" s="132" t="s">
        <v>319</v>
      </c>
      <c r="F239" s="149"/>
      <c r="G239" s="122">
        <f>'Прилож №5'!H316</f>
        <v>822.2</v>
      </c>
      <c r="H239" s="39">
        <f>'Прилож №5'!I316</f>
        <v>822.2</v>
      </c>
      <c r="I239" s="1"/>
    </row>
    <row r="240" spans="1:9" s="4" customFormat="1" ht="15.75">
      <c r="A240" s="140" t="s">
        <v>323</v>
      </c>
      <c r="B240" s="84" t="s">
        <v>122</v>
      </c>
      <c r="C240" s="29" t="s">
        <v>115</v>
      </c>
      <c r="D240" s="29" t="s">
        <v>188</v>
      </c>
      <c r="E240" s="132" t="s">
        <v>320</v>
      </c>
      <c r="F240" s="149"/>
      <c r="G240" s="166">
        <f>'Прилож №5'!H317</f>
        <v>3942.8</v>
      </c>
      <c r="H240" s="39">
        <f>'Прилож №5'!I317</f>
        <v>3942.8</v>
      </c>
      <c r="I240" s="1"/>
    </row>
    <row r="241" spans="1:9" s="4" customFormat="1" ht="15.75">
      <c r="A241" s="113" t="s">
        <v>228</v>
      </c>
      <c r="B241" s="84" t="s">
        <v>122</v>
      </c>
      <c r="C241" s="29" t="s">
        <v>115</v>
      </c>
      <c r="D241" s="136" t="s">
        <v>227</v>
      </c>
      <c r="E241" s="132"/>
      <c r="F241" s="149"/>
      <c r="G241" s="122">
        <f>G242+G245</f>
        <v>2000</v>
      </c>
      <c r="H241" s="30">
        <f>H242+H245</f>
        <v>2000</v>
      </c>
      <c r="I241" s="1"/>
    </row>
    <row r="242" spans="1:9" s="4" customFormat="1" ht="32.25" customHeight="1">
      <c r="A242" s="201" t="s">
        <v>386</v>
      </c>
      <c r="B242" s="84" t="s">
        <v>122</v>
      </c>
      <c r="C242" s="29" t="s">
        <v>115</v>
      </c>
      <c r="D242" s="136" t="s">
        <v>383</v>
      </c>
      <c r="E242" s="132"/>
      <c r="F242" s="149"/>
      <c r="G242" s="122">
        <f>G243</f>
        <v>1000</v>
      </c>
      <c r="H242" s="30">
        <f>H243</f>
        <v>1000</v>
      </c>
      <c r="I242" s="1"/>
    </row>
    <row r="243" spans="1:9" s="4" customFormat="1" ht="72">
      <c r="A243" s="201" t="s">
        <v>405</v>
      </c>
      <c r="B243" s="84" t="s">
        <v>122</v>
      </c>
      <c r="C243" s="29" t="s">
        <v>115</v>
      </c>
      <c r="D243" s="136" t="s">
        <v>404</v>
      </c>
      <c r="E243" s="132"/>
      <c r="F243" s="149"/>
      <c r="G243" s="122">
        <f>G244</f>
        <v>1000</v>
      </c>
      <c r="H243" s="30">
        <f>H244</f>
        <v>1000</v>
      </c>
      <c r="I243" s="1"/>
    </row>
    <row r="244" spans="1:9" s="4" customFormat="1" ht="15.75">
      <c r="A244" s="140" t="s">
        <v>326</v>
      </c>
      <c r="B244" s="84" t="s">
        <v>122</v>
      </c>
      <c r="C244" s="29" t="s">
        <v>115</v>
      </c>
      <c r="D244" s="136" t="s">
        <v>404</v>
      </c>
      <c r="E244" s="270" t="s">
        <v>325</v>
      </c>
      <c r="F244" s="149"/>
      <c r="G244" s="122">
        <f>'Прилож №5'!H321</f>
        <v>1000</v>
      </c>
      <c r="H244" s="30">
        <f>'Прилож №5'!I321</f>
        <v>1000</v>
      </c>
      <c r="I244" s="1"/>
    </row>
    <row r="245" spans="1:9" s="4" customFormat="1" ht="57.75">
      <c r="A245" s="201" t="s">
        <v>407</v>
      </c>
      <c r="B245" s="84" t="s">
        <v>122</v>
      </c>
      <c r="C245" s="29" t="s">
        <v>115</v>
      </c>
      <c r="D245" s="136" t="s">
        <v>406</v>
      </c>
      <c r="E245" s="270"/>
      <c r="F245" s="149"/>
      <c r="G245" s="122">
        <f>G246</f>
        <v>1000</v>
      </c>
      <c r="H245" s="30">
        <f>H246</f>
        <v>1000</v>
      </c>
      <c r="I245" s="1"/>
    </row>
    <row r="246" spans="1:9" s="4" customFormat="1" ht="72">
      <c r="A246" s="201" t="s">
        <v>412</v>
      </c>
      <c r="B246" s="84" t="s">
        <v>122</v>
      </c>
      <c r="C246" s="29" t="s">
        <v>115</v>
      </c>
      <c r="D246" s="136" t="s">
        <v>408</v>
      </c>
      <c r="E246" s="270"/>
      <c r="F246" s="149"/>
      <c r="G246" s="122">
        <f>G247</f>
        <v>1000</v>
      </c>
      <c r="H246" s="30">
        <f>H247</f>
        <v>1000</v>
      </c>
      <c r="I246" s="1"/>
    </row>
    <row r="247" spans="1:9" s="4" customFormat="1" ht="15.75">
      <c r="A247" s="140" t="s">
        <v>326</v>
      </c>
      <c r="B247" s="84" t="s">
        <v>122</v>
      </c>
      <c r="C247" s="29" t="s">
        <v>115</v>
      </c>
      <c r="D247" s="136" t="s">
        <v>408</v>
      </c>
      <c r="E247" s="270" t="s">
        <v>325</v>
      </c>
      <c r="F247" s="149"/>
      <c r="G247" s="122">
        <f>'Прилож №5'!H324</f>
        <v>1000</v>
      </c>
      <c r="H247" s="39">
        <f>'Прилож №5'!I324</f>
        <v>1000</v>
      </c>
      <c r="I247" s="1"/>
    </row>
    <row r="248" spans="1:9" s="4" customFormat="1" ht="15.75">
      <c r="A248" s="53" t="s">
        <v>20</v>
      </c>
      <c r="B248" s="85" t="s">
        <v>122</v>
      </c>
      <c r="C248" s="33" t="s">
        <v>122</v>
      </c>
      <c r="D248" s="33"/>
      <c r="E248" s="155"/>
      <c r="F248" s="32"/>
      <c r="G248" s="263">
        <f>G249+G264+G257</f>
        <v>25782.8</v>
      </c>
      <c r="H248" s="34">
        <f>H249+H264+H257</f>
        <v>8748</v>
      </c>
      <c r="I248" s="1"/>
    </row>
    <row r="249" spans="1:9" s="4" customFormat="1" ht="15.75">
      <c r="A249" s="109" t="s">
        <v>60</v>
      </c>
      <c r="B249" s="84" t="s">
        <v>122</v>
      </c>
      <c r="C249" s="29" t="s">
        <v>122</v>
      </c>
      <c r="D249" s="29" t="s">
        <v>61</v>
      </c>
      <c r="E249" s="132"/>
      <c r="F249" s="28"/>
      <c r="G249" s="122">
        <f>G255+G252+G250</f>
        <v>8284.599999999999</v>
      </c>
      <c r="H249" s="50">
        <f>H255+H252+H250</f>
        <v>4174</v>
      </c>
      <c r="I249" s="1"/>
    </row>
    <row r="250" spans="1:9" s="4" customFormat="1" ht="43.5">
      <c r="A250" s="111" t="s">
        <v>435</v>
      </c>
      <c r="B250" s="84" t="s">
        <v>122</v>
      </c>
      <c r="C250" s="29" t="s">
        <v>122</v>
      </c>
      <c r="D250" s="29" t="s">
        <v>402</v>
      </c>
      <c r="E250" s="132"/>
      <c r="F250" s="28"/>
      <c r="G250" s="122">
        <f>G251</f>
        <v>4174</v>
      </c>
      <c r="H250" s="30">
        <f>H251</f>
        <v>4174</v>
      </c>
      <c r="I250" s="1"/>
    </row>
    <row r="251" spans="1:9" s="4" customFormat="1" ht="43.5">
      <c r="A251" s="201" t="s">
        <v>436</v>
      </c>
      <c r="B251" s="84" t="s">
        <v>122</v>
      </c>
      <c r="C251" s="29" t="s">
        <v>122</v>
      </c>
      <c r="D251" s="29" t="s">
        <v>402</v>
      </c>
      <c r="E251" s="69" t="s">
        <v>403</v>
      </c>
      <c r="F251" s="28"/>
      <c r="G251" s="122">
        <f>'Прилож №5'!H379</f>
        <v>4174</v>
      </c>
      <c r="H251" s="30">
        <f>'Прилож №5'!I379</f>
        <v>4174</v>
      </c>
      <c r="I251" s="1"/>
    </row>
    <row r="252" spans="1:9" s="4" customFormat="1" ht="17.25" customHeight="1">
      <c r="A252" s="184" t="s">
        <v>237</v>
      </c>
      <c r="B252" s="91" t="s">
        <v>122</v>
      </c>
      <c r="C252" s="29" t="s">
        <v>122</v>
      </c>
      <c r="D252" s="29" t="s">
        <v>248</v>
      </c>
      <c r="E252" s="132"/>
      <c r="F252" s="56"/>
      <c r="G252" s="122">
        <f>G254+G253</f>
        <v>4.8999999999999995</v>
      </c>
      <c r="H252" s="68"/>
      <c r="I252" s="1"/>
    </row>
    <row r="253" spans="1:9" s="4" customFormat="1" ht="15.75">
      <c r="A253" s="115" t="s">
        <v>103</v>
      </c>
      <c r="B253" s="91" t="s">
        <v>122</v>
      </c>
      <c r="C253" s="29" t="s">
        <v>122</v>
      </c>
      <c r="D253" s="29" t="s">
        <v>248</v>
      </c>
      <c r="E253" s="132" t="s">
        <v>56</v>
      </c>
      <c r="F253" s="56"/>
      <c r="G253" s="122">
        <f>'Прилож №5'!H381</f>
        <v>0</v>
      </c>
      <c r="H253" s="30"/>
      <c r="I253" s="1"/>
    </row>
    <row r="254" spans="1:9" s="4" customFormat="1" ht="15.75">
      <c r="A254" s="109" t="s">
        <v>155</v>
      </c>
      <c r="B254" s="91" t="s">
        <v>122</v>
      </c>
      <c r="C254" s="29" t="s">
        <v>122</v>
      </c>
      <c r="D254" s="29" t="s">
        <v>248</v>
      </c>
      <c r="E254" s="132" t="s">
        <v>156</v>
      </c>
      <c r="F254" s="56"/>
      <c r="G254" s="122">
        <f>'Прилож №5'!H382</f>
        <v>4.8999999999999995</v>
      </c>
      <c r="H254" s="30"/>
      <c r="I254" s="1"/>
    </row>
    <row r="255" spans="1:9" s="4" customFormat="1" ht="15.75">
      <c r="A255" s="109" t="s">
        <v>62</v>
      </c>
      <c r="B255" s="84" t="s">
        <v>122</v>
      </c>
      <c r="C255" s="29" t="s">
        <v>122</v>
      </c>
      <c r="D255" s="29" t="s">
        <v>184</v>
      </c>
      <c r="E255" s="132"/>
      <c r="F255" s="28"/>
      <c r="G255" s="122">
        <f>G256</f>
        <v>4105.7</v>
      </c>
      <c r="H255" s="30">
        <f>H256</f>
        <v>0</v>
      </c>
      <c r="I255" s="1"/>
    </row>
    <row r="256" spans="1:9" s="4" customFormat="1" ht="15.75">
      <c r="A256" s="109" t="s">
        <v>155</v>
      </c>
      <c r="B256" s="84" t="s">
        <v>122</v>
      </c>
      <c r="C256" s="29" t="s">
        <v>122</v>
      </c>
      <c r="D256" s="29" t="s">
        <v>184</v>
      </c>
      <c r="E256" s="157" t="s">
        <v>156</v>
      </c>
      <c r="F256" s="28" t="s">
        <v>11</v>
      </c>
      <c r="G256" s="166">
        <f>'Прилож №5'!H384</f>
        <v>4105.7</v>
      </c>
      <c r="H256" s="39">
        <f>'Прилож №5'!I384</f>
        <v>0</v>
      </c>
      <c r="I256" s="1"/>
    </row>
    <row r="257" spans="1:9" s="4" customFormat="1" ht="15.75">
      <c r="A257" s="113" t="s">
        <v>228</v>
      </c>
      <c r="B257" s="84" t="s">
        <v>122</v>
      </c>
      <c r="C257" s="29" t="s">
        <v>122</v>
      </c>
      <c r="D257" s="89" t="s">
        <v>227</v>
      </c>
      <c r="E257" s="136"/>
      <c r="F257" s="270"/>
      <c r="G257" s="166">
        <f>G258</f>
        <v>4574</v>
      </c>
      <c r="H257" s="39">
        <f>H258</f>
        <v>4574</v>
      </c>
      <c r="I257" s="1"/>
    </row>
    <row r="258" spans="1:9" s="4" customFormat="1" ht="43.5">
      <c r="A258" s="111" t="s">
        <v>420</v>
      </c>
      <c r="B258" s="84" t="s">
        <v>122</v>
      </c>
      <c r="C258" s="29" t="s">
        <v>122</v>
      </c>
      <c r="D258" s="89" t="s">
        <v>419</v>
      </c>
      <c r="E258" s="138"/>
      <c r="F258" s="270"/>
      <c r="G258" s="166">
        <f>G259</f>
        <v>4574</v>
      </c>
      <c r="H258" s="39">
        <f>H259</f>
        <v>4574</v>
      </c>
      <c r="I258" s="1"/>
    </row>
    <row r="259" spans="1:9" s="4" customFormat="1" ht="20.25" customHeight="1">
      <c r="A259" s="111" t="s">
        <v>379</v>
      </c>
      <c r="B259" s="84" t="s">
        <v>122</v>
      </c>
      <c r="C259" s="29" t="s">
        <v>122</v>
      </c>
      <c r="D259" s="89" t="s">
        <v>430</v>
      </c>
      <c r="E259" s="138"/>
      <c r="F259" s="270"/>
      <c r="G259" s="122">
        <f>G260+G261+G262+G263</f>
        <v>4574</v>
      </c>
      <c r="H259" s="30">
        <f>H260+H261+H262+H263</f>
        <v>4574</v>
      </c>
      <c r="I259" s="1"/>
    </row>
    <row r="260" spans="1:9" s="4" customFormat="1" ht="15.75">
      <c r="A260" s="109" t="s">
        <v>326</v>
      </c>
      <c r="B260" s="84" t="s">
        <v>122</v>
      </c>
      <c r="C260" s="29" t="s">
        <v>122</v>
      </c>
      <c r="D260" s="89" t="s">
        <v>430</v>
      </c>
      <c r="E260" s="138" t="s">
        <v>325</v>
      </c>
      <c r="F260" s="270"/>
      <c r="G260" s="271">
        <f>'Прилож №5'!H330</f>
        <v>3.552713678800501E-13</v>
      </c>
      <c r="H260" s="68">
        <f>'Прилож №5'!I330</f>
        <v>3.552713678800501E-13</v>
      </c>
      <c r="I260" s="1"/>
    </row>
    <row r="261" spans="1:9" s="4" customFormat="1" ht="29.25">
      <c r="A261" s="114" t="s">
        <v>423</v>
      </c>
      <c r="B261" s="84" t="s">
        <v>122</v>
      </c>
      <c r="C261" s="29" t="s">
        <v>122</v>
      </c>
      <c r="D261" s="89" t="s">
        <v>430</v>
      </c>
      <c r="E261" s="138" t="s">
        <v>422</v>
      </c>
      <c r="F261" s="270" t="s">
        <v>158</v>
      </c>
      <c r="G261" s="122">
        <f>'Прилож №5'!H331</f>
        <v>1126.1999999999998</v>
      </c>
      <c r="H261" s="30">
        <f>'Прилож №5'!I331</f>
        <v>1126.1999999999998</v>
      </c>
      <c r="I261" s="1"/>
    </row>
    <row r="262" spans="1:9" s="4" customFormat="1" ht="15.75">
      <c r="A262" s="269" t="s">
        <v>322</v>
      </c>
      <c r="B262" s="84" t="s">
        <v>122</v>
      </c>
      <c r="C262" s="29" t="s">
        <v>122</v>
      </c>
      <c r="D262" s="89" t="s">
        <v>430</v>
      </c>
      <c r="E262" s="138" t="s">
        <v>319</v>
      </c>
      <c r="F262" s="270" t="s">
        <v>319</v>
      </c>
      <c r="G262" s="271">
        <f>'Прилож №5'!H332</f>
        <v>588.8</v>
      </c>
      <c r="H262" s="50">
        <f>'Прилож №5'!I332</f>
        <v>588.8</v>
      </c>
      <c r="I262" s="1"/>
    </row>
    <row r="263" spans="1:9" s="4" customFormat="1" ht="15.75">
      <c r="A263" s="140" t="s">
        <v>323</v>
      </c>
      <c r="B263" s="84" t="s">
        <v>122</v>
      </c>
      <c r="C263" s="29" t="s">
        <v>122</v>
      </c>
      <c r="D263" s="89" t="s">
        <v>430</v>
      </c>
      <c r="E263" s="138" t="s">
        <v>320</v>
      </c>
      <c r="F263" s="270" t="s">
        <v>320</v>
      </c>
      <c r="G263" s="166">
        <f>'Прилож №5'!H333</f>
        <v>2859</v>
      </c>
      <c r="H263" s="68">
        <f>'Прилож №5'!I333</f>
        <v>2859</v>
      </c>
      <c r="I263" s="1"/>
    </row>
    <row r="264" spans="1:9" s="4" customFormat="1" ht="15.75">
      <c r="A264" s="109" t="s">
        <v>83</v>
      </c>
      <c r="B264" s="91" t="s">
        <v>122</v>
      </c>
      <c r="C264" s="38" t="s">
        <v>122</v>
      </c>
      <c r="D264" s="89" t="s">
        <v>84</v>
      </c>
      <c r="E264" s="29"/>
      <c r="F264" s="151"/>
      <c r="G264" s="122">
        <f>G265+G268</f>
        <v>12924.2</v>
      </c>
      <c r="H264" s="30">
        <f>H265</f>
        <v>0</v>
      </c>
      <c r="I264" s="1"/>
    </row>
    <row r="265" spans="1:9" s="4" customFormat="1" ht="29.25">
      <c r="A265" s="223" t="s">
        <v>216</v>
      </c>
      <c r="B265" s="91" t="s">
        <v>122</v>
      </c>
      <c r="C265" s="29" t="s">
        <v>122</v>
      </c>
      <c r="D265" s="89" t="s">
        <v>264</v>
      </c>
      <c r="E265" s="29"/>
      <c r="F265" s="152"/>
      <c r="G265" s="121">
        <f>G266+G267</f>
        <v>8897.2</v>
      </c>
      <c r="H265" s="50">
        <f>H267</f>
        <v>0</v>
      </c>
      <c r="I265" s="1"/>
    </row>
    <row r="266" spans="1:9" s="4" customFormat="1" ht="15.75">
      <c r="A266" s="109" t="s">
        <v>155</v>
      </c>
      <c r="B266" s="84" t="s">
        <v>122</v>
      </c>
      <c r="C266" s="29" t="s">
        <v>122</v>
      </c>
      <c r="D266" s="29" t="s">
        <v>264</v>
      </c>
      <c r="E266" s="154" t="s">
        <v>156</v>
      </c>
      <c r="F266" s="152"/>
      <c r="G266" s="122">
        <f>'Прилож №5'!H387</f>
        <v>157.3000000000011</v>
      </c>
      <c r="H266" s="30"/>
      <c r="I266" s="1"/>
    </row>
    <row r="267" spans="1:9" s="4" customFormat="1" ht="15.75">
      <c r="A267" s="113" t="s">
        <v>94</v>
      </c>
      <c r="B267" s="91" t="s">
        <v>122</v>
      </c>
      <c r="C267" s="49" t="s">
        <v>122</v>
      </c>
      <c r="D267" s="63" t="s">
        <v>264</v>
      </c>
      <c r="E267" s="217" t="s">
        <v>158</v>
      </c>
      <c r="F267" s="153" t="s">
        <v>56</v>
      </c>
      <c r="G267" s="271">
        <f>'Прилож №5'!H167+'Прилож №5'!H388</f>
        <v>8739.9</v>
      </c>
      <c r="H267" s="50">
        <f>'Прилож №5'!I387</f>
        <v>0</v>
      </c>
      <c r="I267" s="1"/>
    </row>
    <row r="268" spans="1:9" s="4" customFormat="1" ht="29.25">
      <c r="A268" s="128" t="s">
        <v>269</v>
      </c>
      <c r="B268" s="84" t="s">
        <v>378</v>
      </c>
      <c r="C268" s="29" t="s">
        <v>122</v>
      </c>
      <c r="D268" s="29" t="s">
        <v>265</v>
      </c>
      <c r="E268" s="132"/>
      <c r="F268" s="56"/>
      <c r="G268" s="30">
        <f>G269+G270</f>
        <v>4027</v>
      </c>
      <c r="H268" s="30"/>
      <c r="I268" s="1"/>
    </row>
    <row r="269" spans="1:9" s="4" customFormat="1" ht="15.75">
      <c r="A269" s="186" t="s">
        <v>155</v>
      </c>
      <c r="B269" s="67" t="s">
        <v>378</v>
      </c>
      <c r="C269" s="63" t="s">
        <v>122</v>
      </c>
      <c r="D269" s="63" t="s">
        <v>265</v>
      </c>
      <c r="E269" s="217" t="s">
        <v>156</v>
      </c>
      <c r="F269" s="159"/>
      <c r="G269" s="68">
        <f>'Прилож №5'!H337+'Прилож №5'!H390</f>
        <v>3568.4</v>
      </c>
      <c r="H269" s="50"/>
      <c r="I269" s="1"/>
    </row>
    <row r="270" spans="1:9" s="4" customFormat="1" ht="15.75">
      <c r="A270" s="113" t="s">
        <v>94</v>
      </c>
      <c r="B270" s="84" t="s">
        <v>122</v>
      </c>
      <c r="C270" s="29" t="s">
        <v>122</v>
      </c>
      <c r="D270" s="29" t="s">
        <v>265</v>
      </c>
      <c r="E270" s="132" t="s">
        <v>158</v>
      </c>
      <c r="F270" s="56"/>
      <c r="G270" s="30">
        <f>'Прилож №5'!H338+'Прилож №5'!H391</f>
        <v>458.6</v>
      </c>
      <c r="H270" s="50"/>
      <c r="I270" s="1"/>
    </row>
    <row r="271" spans="1:9" s="4" customFormat="1" ht="15.75">
      <c r="A271" s="53" t="s">
        <v>23</v>
      </c>
      <c r="B271" s="85" t="s">
        <v>122</v>
      </c>
      <c r="C271" s="33" t="s">
        <v>120</v>
      </c>
      <c r="D271" s="33" t="s">
        <v>34</v>
      </c>
      <c r="E271" s="155" t="s">
        <v>36</v>
      </c>
      <c r="F271" s="32"/>
      <c r="G271" s="406">
        <f>G272+G277+G284+G275</f>
        <v>119889.3</v>
      </c>
      <c r="H271" s="34">
        <f>H272+H277+H284+H275</f>
        <v>18257.5</v>
      </c>
      <c r="I271" s="5"/>
    </row>
    <row r="272" spans="1:9" s="4" customFormat="1" ht="15.75">
      <c r="A272" s="111" t="s">
        <v>95</v>
      </c>
      <c r="B272" s="84" t="s">
        <v>122</v>
      </c>
      <c r="C272" s="29" t="s">
        <v>120</v>
      </c>
      <c r="D272" s="29" t="s">
        <v>157</v>
      </c>
      <c r="E272" s="132"/>
      <c r="F272" s="28"/>
      <c r="G272" s="122">
        <f>G273</f>
        <v>13838.4</v>
      </c>
      <c r="H272" s="30">
        <f>H273</f>
        <v>0</v>
      </c>
      <c r="I272" s="5"/>
    </row>
    <row r="273" spans="1:9" s="4" customFormat="1" ht="15.75">
      <c r="A273" s="113" t="s">
        <v>37</v>
      </c>
      <c r="B273" s="84" t="s">
        <v>122</v>
      </c>
      <c r="C273" s="29" t="s">
        <v>120</v>
      </c>
      <c r="D273" s="29" t="s">
        <v>159</v>
      </c>
      <c r="E273" s="132"/>
      <c r="F273" s="28"/>
      <c r="G273" s="122">
        <f>G274</f>
        <v>13838.4</v>
      </c>
      <c r="H273" s="30">
        <f>H274</f>
        <v>0</v>
      </c>
      <c r="I273" s="5"/>
    </row>
    <row r="274" spans="1:9" s="4" customFormat="1" ht="15.75">
      <c r="A274" s="113" t="s">
        <v>94</v>
      </c>
      <c r="B274" s="84" t="s">
        <v>122</v>
      </c>
      <c r="C274" s="29" t="s">
        <v>120</v>
      </c>
      <c r="D274" s="29" t="s">
        <v>159</v>
      </c>
      <c r="E274" s="132" t="s">
        <v>158</v>
      </c>
      <c r="F274" s="28"/>
      <c r="G274" s="122">
        <f>'Прилож №5'!H342</f>
        <v>13838.4</v>
      </c>
      <c r="H274" s="66">
        <f>'Прилож №5'!I342</f>
        <v>0</v>
      </c>
      <c r="I274" s="5"/>
    </row>
    <row r="275" spans="1:9" s="4" customFormat="1" ht="109.5" customHeight="1">
      <c r="A275" s="114" t="s">
        <v>374</v>
      </c>
      <c r="B275" s="84" t="s">
        <v>122</v>
      </c>
      <c r="C275" s="29" t="s">
        <v>120</v>
      </c>
      <c r="D275" s="38" t="s">
        <v>332</v>
      </c>
      <c r="E275" s="29"/>
      <c r="F275" s="69"/>
      <c r="G275" s="166">
        <f>G276</f>
        <v>17387</v>
      </c>
      <c r="H275" s="39">
        <f>H276</f>
        <v>17387</v>
      </c>
      <c r="I275" s="1"/>
    </row>
    <row r="276" spans="1:9" s="4" customFormat="1" ht="32.25" customHeight="1">
      <c r="A276" s="168" t="s">
        <v>329</v>
      </c>
      <c r="B276" s="84" t="s">
        <v>122</v>
      </c>
      <c r="C276" s="29" t="s">
        <v>120</v>
      </c>
      <c r="D276" s="38" t="s">
        <v>332</v>
      </c>
      <c r="E276" s="48" t="s">
        <v>328</v>
      </c>
      <c r="F276" s="69" t="s">
        <v>328</v>
      </c>
      <c r="G276" s="166">
        <f>'Прилож №5'!H344</f>
        <v>17387</v>
      </c>
      <c r="H276" s="39">
        <f>'Прилож №5'!I344</f>
        <v>17387</v>
      </c>
      <c r="I276" s="1"/>
    </row>
    <row r="277" spans="1:9" s="4" customFormat="1" ht="57.75">
      <c r="A277" s="114" t="s">
        <v>73</v>
      </c>
      <c r="B277" s="84" t="s">
        <v>122</v>
      </c>
      <c r="C277" s="29" t="s">
        <v>120</v>
      </c>
      <c r="D277" s="29" t="s">
        <v>29</v>
      </c>
      <c r="E277" s="132"/>
      <c r="F277" s="28"/>
      <c r="G277" s="122">
        <f>G280+G283+G278</f>
        <v>26547.300000000003</v>
      </c>
      <c r="H277" s="30">
        <f>H280+H283+H278</f>
        <v>870.5</v>
      </c>
      <c r="I277" s="5"/>
    </row>
    <row r="278" spans="1:9" s="4" customFormat="1" ht="29.25">
      <c r="A278" s="114" t="s">
        <v>368</v>
      </c>
      <c r="B278" s="29" t="s">
        <v>122</v>
      </c>
      <c r="C278" s="29" t="s">
        <v>120</v>
      </c>
      <c r="D278" s="29" t="s">
        <v>367</v>
      </c>
      <c r="E278" s="37"/>
      <c r="F278" s="69"/>
      <c r="G278" s="122">
        <f>G279</f>
        <v>870.9</v>
      </c>
      <c r="H278" s="50">
        <f>H279</f>
        <v>870.5</v>
      </c>
      <c r="I278" s="5"/>
    </row>
    <row r="279" spans="1:9" s="4" customFormat="1" ht="15.75">
      <c r="A279" s="269" t="s">
        <v>322</v>
      </c>
      <c r="B279" s="29" t="s">
        <v>122</v>
      </c>
      <c r="C279" s="29" t="s">
        <v>120</v>
      </c>
      <c r="D279" s="29" t="s">
        <v>367</v>
      </c>
      <c r="E279" s="37" t="s">
        <v>319</v>
      </c>
      <c r="F279" s="69" t="s">
        <v>319</v>
      </c>
      <c r="G279" s="122">
        <f>'Прилож №5'!H347</f>
        <v>870.9</v>
      </c>
      <c r="H279" s="30">
        <f>'Прилож №5'!I347</f>
        <v>870.5</v>
      </c>
      <c r="I279" s="5"/>
    </row>
    <row r="280" spans="1:9" s="4" customFormat="1" ht="18" customHeight="1">
      <c r="A280" s="184" t="s">
        <v>237</v>
      </c>
      <c r="B280" s="84" t="s">
        <v>122</v>
      </c>
      <c r="C280" s="29" t="s">
        <v>120</v>
      </c>
      <c r="D280" s="29" t="s">
        <v>242</v>
      </c>
      <c r="E280" s="157"/>
      <c r="F280" s="56"/>
      <c r="G280" s="122">
        <f>G281</f>
        <v>450</v>
      </c>
      <c r="H280" s="30">
        <f>H281</f>
        <v>0</v>
      </c>
      <c r="I280" s="5"/>
    </row>
    <row r="281" spans="1:9" s="4" customFormat="1" ht="15.75">
      <c r="A281" s="109" t="s">
        <v>155</v>
      </c>
      <c r="B281" s="84" t="s">
        <v>122</v>
      </c>
      <c r="C281" s="29" t="s">
        <v>120</v>
      </c>
      <c r="D281" s="29" t="s">
        <v>242</v>
      </c>
      <c r="E281" s="157" t="s">
        <v>156</v>
      </c>
      <c r="F281" s="56" t="s">
        <v>56</v>
      </c>
      <c r="G281" s="122">
        <f>'Прилож №5'!H349</f>
        <v>450</v>
      </c>
      <c r="H281" s="50">
        <f>'Прилож №5'!I349</f>
        <v>0</v>
      </c>
      <c r="I281" s="5"/>
    </row>
    <row r="282" spans="1:9" s="4" customFormat="1" ht="15.75">
      <c r="A282" s="109" t="s">
        <v>18</v>
      </c>
      <c r="B282" s="84" t="s">
        <v>122</v>
      </c>
      <c r="C282" s="29" t="s">
        <v>120</v>
      </c>
      <c r="D282" s="29" t="s">
        <v>135</v>
      </c>
      <c r="E282" s="132"/>
      <c r="F282" s="28"/>
      <c r="G282" s="122">
        <f>G283</f>
        <v>25226.4</v>
      </c>
      <c r="H282" s="30">
        <f>H283</f>
        <v>0</v>
      </c>
      <c r="I282" s="5"/>
    </row>
    <row r="283" spans="1:9" s="4" customFormat="1" ht="15.75">
      <c r="A283" s="109" t="s">
        <v>155</v>
      </c>
      <c r="B283" s="84" t="s">
        <v>122</v>
      </c>
      <c r="C283" s="29" t="s">
        <v>120</v>
      </c>
      <c r="D283" s="29" t="s">
        <v>135</v>
      </c>
      <c r="E283" s="132" t="s">
        <v>156</v>
      </c>
      <c r="F283" s="28"/>
      <c r="G283" s="122">
        <f>'Прилож №5'!H351</f>
        <v>25226.4</v>
      </c>
      <c r="H283" s="30">
        <f>'Прилож №5'!I351</f>
        <v>0</v>
      </c>
      <c r="I283" s="5"/>
    </row>
    <row r="284" spans="1:9" s="4" customFormat="1" ht="15.75">
      <c r="A284" s="110" t="s">
        <v>83</v>
      </c>
      <c r="B284" s="91" t="s">
        <v>122</v>
      </c>
      <c r="C284" s="49" t="s">
        <v>120</v>
      </c>
      <c r="D284" s="49" t="s">
        <v>84</v>
      </c>
      <c r="E284" s="132"/>
      <c r="F284" s="48"/>
      <c r="G284" s="121">
        <f>G285+G287</f>
        <v>62116.6</v>
      </c>
      <c r="H284" s="50">
        <f>H287</f>
        <v>0</v>
      </c>
      <c r="I284" s="5"/>
    </row>
    <row r="285" spans="1:9" s="4" customFormat="1" ht="43.5">
      <c r="A285" s="116" t="s">
        <v>231</v>
      </c>
      <c r="B285" s="182" t="s">
        <v>122</v>
      </c>
      <c r="C285" s="147" t="s">
        <v>120</v>
      </c>
      <c r="D285" s="38" t="s">
        <v>136</v>
      </c>
      <c r="E285" s="219"/>
      <c r="F285" s="143"/>
      <c r="G285" s="183">
        <f>G286</f>
        <v>1266.1</v>
      </c>
      <c r="H285" s="148"/>
      <c r="I285" s="5"/>
    </row>
    <row r="286" spans="1:9" s="4" customFormat="1" ht="15.75">
      <c r="A286" s="47" t="s">
        <v>94</v>
      </c>
      <c r="B286" s="141" t="s">
        <v>122</v>
      </c>
      <c r="C286" s="138" t="s">
        <v>120</v>
      </c>
      <c r="D286" s="38" t="s">
        <v>136</v>
      </c>
      <c r="E286" s="218" t="s">
        <v>158</v>
      </c>
      <c r="F286" s="188"/>
      <c r="G286" s="191">
        <f>'Прилож №5'!H357</f>
        <v>1266.1</v>
      </c>
      <c r="H286" s="66"/>
      <c r="I286" s="5"/>
    </row>
    <row r="287" spans="1:14" s="4" customFormat="1" ht="29.25">
      <c r="A287" s="128" t="s">
        <v>269</v>
      </c>
      <c r="B287" s="141" t="s">
        <v>122</v>
      </c>
      <c r="C287" s="138" t="s">
        <v>120</v>
      </c>
      <c r="D287" s="29" t="s">
        <v>265</v>
      </c>
      <c r="E287" s="218"/>
      <c r="F287" s="139"/>
      <c r="G287" s="190">
        <f>G289+G288</f>
        <v>60850.5</v>
      </c>
      <c r="H287" s="66">
        <f>H289</f>
        <v>0</v>
      </c>
      <c r="I287" s="1"/>
      <c r="J287" s="1"/>
      <c r="K287" s="1"/>
      <c r="L287" s="1"/>
      <c r="M287" s="1"/>
      <c r="N287" s="1"/>
    </row>
    <row r="288" spans="1:14" s="4" customFormat="1" ht="15.75">
      <c r="A288" s="185" t="s">
        <v>155</v>
      </c>
      <c r="B288" s="239" t="s">
        <v>122</v>
      </c>
      <c r="C288" s="309" t="s">
        <v>120</v>
      </c>
      <c r="D288" s="63" t="s">
        <v>265</v>
      </c>
      <c r="E288" s="310" t="s">
        <v>156</v>
      </c>
      <c r="F288" s="242"/>
      <c r="G288" s="311">
        <f>'Прилож №5'!H354</f>
        <v>44090.1</v>
      </c>
      <c r="H288" s="237"/>
      <c r="I288" s="1"/>
      <c r="J288" s="1"/>
      <c r="K288" s="1"/>
      <c r="L288" s="1"/>
      <c r="M288" s="1"/>
      <c r="N288" s="1"/>
    </row>
    <row r="289" spans="1:14" s="4" customFormat="1" ht="16.5" thickBot="1">
      <c r="A289" s="146" t="s">
        <v>94</v>
      </c>
      <c r="B289" s="141" t="s">
        <v>122</v>
      </c>
      <c r="C289" s="138" t="s">
        <v>120</v>
      </c>
      <c r="D289" s="38" t="s">
        <v>265</v>
      </c>
      <c r="E289" s="218" t="s">
        <v>158</v>
      </c>
      <c r="F289" s="139"/>
      <c r="G289" s="190">
        <f>'Прилож №5'!H171+'Прилож №5'!H355</f>
        <v>16760.4</v>
      </c>
      <c r="H289" s="237">
        <f>'Прилож №5'!I355</f>
        <v>0</v>
      </c>
      <c r="I289" s="1"/>
      <c r="J289" s="1"/>
      <c r="K289" s="1"/>
      <c r="L289" s="1"/>
      <c r="M289" s="1"/>
      <c r="N289" s="1"/>
    </row>
    <row r="290" spans="1:14" s="4" customFormat="1" ht="16.5" thickBot="1">
      <c r="A290" s="51" t="s">
        <v>224</v>
      </c>
      <c r="B290" s="80" t="s">
        <v>123</v>
      </c>
      <c r="C290" s="22"/>
      <c r="D290" s="22"/>
      <c r="E290" s="214"/>
      <c r="F290" s="52"/>
      <c r="G290" s="120">
        <f>G291+G322</f>
        <v>87487.5</v>
      </c>
      <c r="H290" s="23">
        <f>H291+H322</f>
        <v>471</v>
      </c>
      <c r="I290" s="1"/>
      <c r="J290" s="1"/>
      <c r="K290" s="1"/>
      <c r="L290" s="1"/>
      <c r="M290" s="1"/>
      <c r="N290" s="1"/>
    </row>
    <row r="291" spans="1:14" s="4" customFormat="1" ht="16.5" thickBot="1">
      <c r="A291" s="51" t="s">
        <v>24</v>
      </c>
      <c r="B291" s="22" t="s">
        <v>123</v>
      </c>
      <c r="C291" s="80" t="s">
        <v>114</v>
      </c>
      <c r="D291" s="22"/>
      <c r="E291" s="195"/>
      <c r="F291" s="20" t="s">
        <v>8</v>
      </c>
      <c r="G291" s="120">
        <f>G302+G309+G317+G292</f>
        <v>67091.5</v>
      </c>
      <c r="H291" s="23">
        <f>H302+H309+H317+H292</f>
        <v>471</v>
      </c>
      <c r="I291" s="1"/>
      <c r="J291" s="1"/>
      <c r="K291" s="1"/>
      <c r="L291" s="1"/>
      <c r="M291" s="1"/>
      <c r="N291" s="1"/>
    </row>
    <row r="292" spans="1:14" s="4" customFormat="1" ht="30.75" thickBot="1">
      <c r="A292" s="104" t="s">
        <v>77</v>
      </c>
      <c r="B292" s="22" t="s">
        <v>123</v>
      </c>
      <c r="C292" s="22" t="s">
        <v>114</v>
      </c>
      <c r="D292" s="80" t="s">
        <v>25</v>
      </c>
      <c r="E292" s="22"/>
      <c r="F292" s="20"/>
      <c r="G292" s="23">
        <f>G296+G299+G293</f>
        <v>41688.2</v>
      </c>
      <c r="H292" s="23">
        <f>H296+H299+H293</f>
        <v>275</v>
      </c>
      <c r="I292" s="1"/>
      <c r="J292" s="1"/>
      <c r="K292" s="1"/>
      <c r="L292" s="1"/>
      <c r="M292" s="1"/>
      <c r="N292" s="1"/>
    </row>
    <row r="293" spans="1:14" s="4" customFormat="1" ht="29.25">
      <c r="A293" s="112" t="s">
        <v>472</v>
      </c>
      <c r="B293" s="345" t="s">
        <v>123</v>
      </c>
      <c r="C293" s="346" t="s">
        <v>114</v>
      </c>
      <c r="D293" s="355" t="s">
        <v>223</v>
      </c>
      <c r="E293" s="49"/>
      <c r="F293" s="347"/>
      <c r="G293" s="349">
        <f>G294</f>
        <v>225</v>
      </c>
      <c r="H293" s="61">
        <f>H294</f>
        <v>225</v>
      </c>
      <c r="I293" s="1"/>
      <c r="J293" s="1"/>
      <c r="K293" s="1"/>
      <c r="L293" s="1"/>
      <c r="M293" s="1"/>
      <c r="N293" s="1"/>
    </row>
    <row r="294" spans="1:14" s="4" customFormat="1" ht="29.25">
      <c r="A294" s="112" t="s">
        <v>473</v>
      </c>
      <c r="B294" s="351" t="s">
        <v>123</v>
      </c>
      <c r="C294" s="352" t="s">
        <v>114</v>
      </c>
      <c r="D294" s="38" t="s">
        <v>223</v>
      </c>
      <c r="E294" s="38"/>
      <c r="F294" s="353"/>
      <c r="G294" s="354">
        <f>G295</f>
        <v>225</v>
      </c>
      <c r="H294" s="210">
        <f>H295</f>
        <v>225</v>
      </c>
      <c r="I294" s="1"/>
      <c r="J294" s="1"/>
      <c r="K294" s="1"/>
      <c r="L294" s="1"/>
      <c r="M294" s="1"/>
      <c r="N294" s="1"/>
    </row>
    <row r="295" spans="1:14" s="4" customFormat="1" ht="15.75">
      <c r="A295" s="109" t="s">
        <v>370</v>
      </c>
      <c r="B295" s="54" t="s">
        <v>123</v>
      </c>
      <c r="C295" s="76" t="s">
        <v>114</v>
      </c>
      <c r="D295" s="29" t="s">
        <v>223</v>
      </c>
      <c r="E295" s="29" t="s">
        <v>369</v>
      </c>
      <c r="F295" s="348" t="s">
        <v>369</v>
      </c>
      <c r="G295" s="350">
        <f>'Прилож №5'!H397</f>
        <v>225</v>
      </c>
      <c r="H295" s="34">
        <f>'Прилож №5'!I397</f>
        <v>225</v>
      </c>
      <c r="I295" s="1"/>
      <c r="J295" s="1"/>
      <c r="K295" s="1"/>
      <c r="L295" s="1"/>
      <c r="M295" s="1"/>
      <c r="N295" s="1"/>
    </row>
    <row r="296" spans="1:14" s="4" customFormat="1" ht="19.5" customHeight="1">
      <c r="A296" s="180" t="s">
        <v>237</v>
      </c>
      <c r="B296" s="49" t="s">
        <v>123</v>
      </c>
      <c r="C296" s="91" t="s">
        <v>114</v>
      </c>
      <c r="D296" s="29" t="s">
        <v>245</v>
      </c>
      <c r="E296" s="156"/>
      <c r="F296" s="36"/>
      <c r="G296" s="50">
        <f>G298+G297</f>
        <v>4761.099999999999</v>
      </c>
      <c r="H296" s="197">
        <f>H298</f>
        <v>0</v>
      </c>
      <c r="I296" s="1"/>
      <c r="J296" s="1"/>
      <c r="K296" s="1"/>
      <c r="L296" s="1"/>
      <c r="M296" s="1"/>
      <c r="N296" s="1"/>
    </row>
    <row r="297" spans="1:14" s="4" customFormat="1" ht="15.75">
      <c r="A297" s="115" t="s">
        <v>103</v>
      </c>
      <c r="B297" s="49" t="s">
        <v>123</v>
      </c>
      <c r="C297" s="49" t="s">
        <v>114</v>
      </c>
      <c r="D297" s="49" t="s">
        <v>245</v>
      </c>
      <c r="E297" s="154" t="s">
        <v>56</v>
      </c>
      <c r="F297" s="36"/>
      <c r="G297" s="50">
        <f>'Прилож №5'!H399</f>
        <v>0</v>
      </c>
      <c r="H297" s="197"/>
      <c r="I297" s="1"/>
      <c r="J297" s="1"/>
      <c r="K297" s="1"/>
      <c r="L297" s="1"/>
      <c r="M297" s="1"/>
      <c r="N297" s="1"/>
    </row>
    <row r="298" spans="1:14" s="4" customFormat="1" ht="15.75">
      <c r="A298" s="185" t="s">
        <v>155</v>
      </c>
      <c r="B298" s="49" t="s">
        <v>123</v>
      </c>
      <c r="C298" s="49" t="s">
        <v>114</v>
      </c>
      <c r="D298" s="49" t="s">
        <v>245</v>
      </c>
      <c r="E298" s="154" t="s">
        <v>156</v>
      </c>
      <c r="F298" s="36"/>
      <c r="G298" s="50">
        <f>'Прилож №5'!H400</f>
        <v>4761.099999999999</v>
      </c>
      <c r="H298" s="197">
        <f>'Прилож №5'!I400</f>
        <v>0</v>
      </c>
      <c r="I298" s="1"/>
      <c r="J298" s="1"/>
      <c r="K298" s="1"/>
      <c r="L298" s="1"/>
      <c r="M298" s="1"/>
      <c r="N298" s="1"/>
    </row>
    <row r="299" spans="1:14" s="4" customFormat="1" ht="15.75">
      <c r="A299" s="47" t="s">
        <v>18</v>
      </c>
      <c r="B299" s="49" t="s">
        <v>123</v>
      </c>
      <c r="C299" s="49" t="s">
        <v>114</v>
      </c>
      <c r="D299" s="49" t="s">
        <v>137</v>
      </c>
      <c r="E299" s="154"/>
      <c r="F299" s="57"/>
      <c r="G299" s="50">
        <f>G300+G301</f>
        <v>36702.1</v>
      </c>
      <c r="H299" s="197">
        <f>'Прилож №5'!I401</f>
        <v>50</v>
      </c>
      <c r="I299" s="1"/>
      <c r="J299" s="1"/>
      <c r="K299" s="1"/>
      <c r="L299" s="1"/>
      <c r="M299" s="1"/>
      <c r="N299" s="1"/>
    </row>
    <row r="300" spans="1:14" s="4" customFormat="1" ht="15.75">
      <c r="A300" s="115" t="s">
        <v>103</v>
      </c>
      <c r="B300" s="49" t="s">
        <v>123</v>
      </c>
      <c r="C300" s="49" t="s">
        <v>114</v>
      </c>
      <c r="D300" s="49" t="s">
        <v>137</v>
      </c>
      <c r="E300" s="154" t="s">
        <v>56</v>
      </c>
      <c r="F300" s="57"/>
      <c r="G300" s="50">
        <f>'Прилож №5'!H402</f>
        <v>140</v>
      </c>
      <c r="H300" s="197"/>
      <c r="I300" s="1"/>
      <c r="J300" s="1"/>
      <c r="K300" s="1"/>
      <c r="L300" s="1"/>
      <c r="M300" s="1"/>
      <c r="N300" s="1"/>
    </row>
    <row r="301" spans="1:14" s="4" customFormat="1" ht="15.75">
      <c r="A301" s="185" t="s">
        <v>155</v>
      </c>
      <c r="B301" s="49" t="s">
        <v>123</v>
      </c>
      <c r="C301" s="49" t="s">
        <v>114</v>
      </c>
      <c r="D301" s="29" t="s">
        <v>137</v>
      </c>
      <c r="E301" s="132" t="s">
        <v>156</v>
      </c>
      <c r="F301" s="56" t="s">
        <v>56</v>
      </c>
      <c r="G301" s="50">
        <f>'Прилож №5'!H403</f>
        <v>36562.1</v>
      </c>
      <c r="H301" s="197">
        <f>'Прилож №5'!I403</f>
        <v>50</v>
      </c>
      <c r="I301" s="1"/>
      <c r="J301" s="1"/>
      <c r="K301" s="1"/>
      <c r="L301" s="1"/>
      <c r="M301" s="1"/>
      <c r="N301" s="1"/>
    </row>
    <row r="302" spans="1:14" s="4" customFormat="1" ht="15.75">
      <c r="A302" s="53" t="s">
        <v>9</v>
      </c>
      <c r="B302" s="33" t="s">
        <v>123</v>
      </c>
      <c r="C302" s="33" t="s">
        <v>114</v>
      </c>
      <c r="D302" s="33" t="s">
        <v>26</v>
      </c>
      <c r="E302" s="155"/>
      <c r="F302" s="32"/>
      <c r="G302" s="34">
        <f>G303+G306</f>
        <v>3892.7000000000003</v>
      </c>
      <c r="H302" s="198">
        <f>H303+H306</f>
        <v>0</v>
      </c>
      <c r="I302" s="1"/>
      <c r="J302" s="1"/>
      <c r="K302" s="1"/>
      <c r="L302" s="1"/>
      <c r="M302" s="1"/>
      <c r="N302" s="1"/>
    </row>
    <row r="303" spans="1:14" s="4" customFormat="1" ht="21" customHeight="1">
      <c r="A303" s="184" t="s">
        <v>237</v>
      </c>
      <c r="B303" s="49" t="s">
        <v>123</v>
      </c>
      <c r="C303" s="49" t="s">
        <v>114</v>
      </c>
      <c r="D303" s="49" t="s">
        <v>246</v>
      </c>
      <c r="E303" s="156"/>
      <c r="F303" s="28"/>
      <c r="G303" s="30">
        <f>G305+G304</f>
        <v>4.3</v>
      </c>
      <c r="H303" s="193">
        <f>H305</f>
        <v>0</v>
      </c>
      <c r="I303" s="1"/>
      <c r="J303" s="1"/>
      <c r="K303" s="1"/>
      <c r="L303" s="1"/>
      <c r="M303" s="1"/>
      <c r="N303" s="1"/>
    </row>
    <row r="304" spans="1:14" s="4" customFormat="1" ht="15.75">
      <c r="A304" s="115" t="s">
        <v>103</v>
      </c>
      <c r="B304" s="49" t="s">
        <v>123</v>
      </c>
      <c r="C304" s="49" t="s">
        <v>114</v>
      </c>
      <c r="D304" s="49" t="s">
        <v>246</v>
      </c>
      <c r="E304" s="154" t="s">
        <v>56</v>
      </c>
      <c r="F304" s="28"/>
      <c r="G304" s="30">
        <f>'Прилож №5'!H406</f>
        <v>0</v>
      </c>
      <c r="H304" s="193"/>
      <c r="I304" s="1"/>
      <c r="J304" s="1"/>
      <c r="K304" s="1"/>
      <c r="L304" s="1"/>
      <c r="M304" s="1"/>
      <c r="N304" s="1"/>
    </row>
    <row r="305" spans="1:14" s="4" customFormat="1" ht="15.75">
      <c r="A305" s="185" t="s">
        <v>155</v>
      </c>
      <c r="B305" s="29" t="s">
        <v>123</v>
      </c>
      <c r="C305" s="29" t="s">
        <v>114</v>
      </c>
      <c r="D305" s="49" t="s">
        <v>246</v>
      </c>
      <c r="E305" s="154" t="s">
        <v>156</v>
      </c>
      <c r="F305" s="28"/>
      <c r="G305" s="30">
        <f>'Прилож №5'!H407</f>
        <v>4.3</v>
      </c>
      <c r="H305" s="193">
        <f>'Прилож №5'!I407</f>
        <v>0</v>
      </c>
      <c r="I305" s="1"/>
      <c r="J305" s="1"/>
      <c r="K305" s="1"/>
      <c r="L305" s="1"/>
      <c r="M305" s="1"/>
      <c r="N305" s="1"/>
    </row>
    <row r="306" spans="1:14" s="4" customFormat="1" ht="15.75">
      <c r="A306" s="110" t="s">
        <v>18</v>
      </c>
      <c r="B306" s="29" t="s">
        <v>123</v>
      </c>
      <c r="C306" s="29" t="s">
        <v>114</v>
      </c>
      <c r="D306" s="29" t="s">
        <v>138</v>
      </c>
      <c r="E306" s="132"/>
      <c r="F306" s="28"/>
      <c r="G306" s="30">
        <f>G307+G308</f>
        <v>3888.4</v>
      </c>
      <c r="H306" s="193">
        <f>'Прилож №5'!I408</f>
        <v>0</v>
      </c>
      <c r="I306" s="1"/>
      <c r="J306" s="1"/>
      <c r="K306" s="1"/>
      <c r="L306" s="1"/>
      <c r="M306" s="1"/>
      <c r="N306" s="1"/>
    </row>
    <row r="307" spans="1:14" s="4" customFormat="1" ht="15.75">
      <c r="A307" s="47" t="s">
        <v>103</v>
      </c>
      <c r="B307" s="29" t="s">
        <v>123</v>
      </c>
      <c r="C307" s="29" t="s">
        <v>114</v>
      </c>
      <c r="D307" s="29" t="s">
        <v>138</v>
      </c>
      <c r="E307" s="132" t="s">
        <v>56</v>
      </c>
      <c r="F307" s="28"/>
      <c r="G307" s="30">
        <f>'Прилож №5'!H409</f>
        <v>2.1</v>
      </c>
      <c r="H307" s="193"/>
      <c r="I307" s="1"/>
      <c r="J307" s="1"/>
      <c r="K307" s="1"/>
      <c r="L307" s="1"/>
      <c r="M307" s="1"/>
      <c r="N307" s="1"/>
    </row>
    <row r="308" spans="1:14" s="4" customFormat="1" ht="15.75">
      <c r="A308" s="109" t="s">
        <v>155</v>
      </c>
      <c r="B308" s="29" t="s">
        <v>123</v>
      </c>
      <c r="C308" s="29" t="s">
        <v>114</v>
      </c>
      <c r="D308" s="29" t="s">
        <v>138</v>
      </c>
      <c r="E308" s="132" t="s">
        <v>156</v>
      </c>
      <c r="F308" s="28"/>
      <c r="G308" s="30">
        <f>'Прилож №5'!H410</f>
        <v>3886.3</v>
      </c>
      <c r="H308" s="193">
        <f>'Прилож №5'!I410</f>
        <v>0</v>
      </c>
      <c r="I308" s="1"/>
      <c r="J308" s="1"/>
      <c r="K308" s="1"/>
      <c r="L308" s="1"/>
      <c r="M308" s="1"/>
      <c r="N308" s="1"/>
    </row>
    <row r="309" spans="1:14" s="4" customFormat="1" ht="15.75">
      <c r="A309" s="53" t="s">
        <v>10</v>
      </c>
      <c r="B309" s="33" t="s">
        <v>123</v>
      </c>
      <c r="C309" s="33" t="s">
        <v>114</v>
      </c>
      <c r="D309" s="33" t="s">
        <v>27</v>
      </c>
      <c r="E309" s="155"/>
      <c r="F309" s="32"/>
      <c r="G309" s="34">
        <f>G312+G314+G310</f>
        <v>10393.6</v>
      </c>
      <c r="H309" s="34">
        <f>H312+H314+H310</f>
        <v>196</v>
      </c>
      <c r="I309" s="1"/>
      <c r="J309" s="1"/>
      <c r="K309" s="1"/>
      <c r="L309" s="1"/>
      <c r="M309" s="1"/>
      <c r="N309" s="1"/>
    </row>
    <row r="310" spans="1:14" s="4" customFormat="1" ht="43.5">
      <c r="A310" s="297" t="s">
        <v>463</v>
      </c>
      <c r="B310" s="370" t="s">
        <v>123</v>
      </c>
      <c r="C310" s="370" t="s">
        <v>114</v>
      </c>
      <c r="D310" s="294" t="s">
        <v>464</v>
      </c>
      <c r="E310" s="371"/>
      <c r="F310" s="372"/>
      <c r="G310" s="374">
        <f>G311</f>
        <v>196</v>
      </c>
      <c r="H310" s="374">
        <f>H311</f>
        <v>196</v>
      </c>
      <c r="I310" s="382"/>
      <c r="J310" s="1"/>
      <c r="K310" s="1"/>
      <c r="L310" s="1"/>
      <c r="M310" s="1"/>
      <c r="N310" s="1"/>
    </row>
    <row r="311" spans="1:14" s="4" customFormat="1" ht="15.75">
      <c r="A311" s="307" t="s">
        <v>370</v>
      </c>
      <c r="B311" s="370" t="s">
        <v>123</v>
      </c>
      <c r="C311" s="370" t="s">
        <v>114</v>
      </c>
      <c r="D311" s="294" t="s">
        <v>464</v>
      </c>
      <c r="E311" s="371" t="s">
        <v>369</v>
      </c>
      <c r="F311" s="377" t="s">
        <v>369</v>
      </c>
      <c r="G311" s="374">
        <f>'Прилож №5'!H413</f>
        <v>196</v>
      </c>
      <c r="H311" s="374">
        <f>'Прилож №5'!I413</f>
        <v>196</v>
      </c>
      <c r="I311" s="382"/>
      <c r="J311" s="1"/>
      <c r="K311" s="1"/>
      <c r="L311" s="1"/>
      <c r="M311" s="1"/>
      <c r="N311" s="1"/>
    </row>
    <row r="312" spans="1:14" s="4" customFormat="1" ht="19.5" customHeight="1">
      <c r="A312" s="378" t="s">
        <v>237</v>
      </c>
      <c r="B312" s="294" t="s">
        <v>123</v>
      </c>
      <c r="C312" s="294" t="s">
        <v>114</v>
      </c>
      <c r="D312" s="294" t="s">
        <v>244</v>
      </c>
      <c r="E312" s="383"/>
      <c r="F312" s="371"/>
      <c r="G312" s="302">
        <f>G313</f>
        <v>6</v>
      </c>
      <c r="H312" s="384">
        <f>H313</f>
        <v>0</v>
      </c>
      <c r="I312" s="382"/>
      <c r="J312" s="1"/>
      <c r="K312" s="1"/>
      <c r="L312" s="1"/>
      <c r="M312" s="1"/>
      <c r="N312" s="1"/>
    </row>
    <row r="313" spans="1:14" s="4" customFormat="1" ht="15.75">
      <c r="A313" s="185" t="s">
        <v>155</v>
      </c>
      <c r="B313" s="29" t="s">
        <v>123</v>
      </c>
      <c r="C313" s="29" t="s">
        <v>114</v>
      </c>
      <c r="D313" s="29" t="s">
        <v>244</v>
      </c>
      <c r="E313" s="132" t="s">
        <v>156</v>
      </c>
      <c r="F313" s="32"/>
      <c r="G313" s="30">
        <f>'Прилож №5'!H415</f>
        <v>6</v>
      </c>
      <c r="H313" s="193">
        <f>'Прилож №5'!I415</f>
        <v>0</v>
      </c>
      <c r="I313" s="1"/>
      <c r="J313" s="1"/>
      <c r="K313" s="1"/>
      <c r="L313" s="1"/>
      <c r="M313" s="1"/>
      <c r="N313" s="1"/>
    </row>
    <row r="314" spans="1:14" s="4" customFormat="1" ht="15.75">
      <c r="A314" s="47" t="s">
        <v>18</v>
      </c>
      <c r="B314" s="29" t="s">
        <v>123</v>
      </c>
      <c r="C314" s="29" t="s">
        <v>114</v>
      </c>
      <c r="D314" s="29" t="s">
        <v>139</v>
      </c>
      <c r="E314" s="132"/>
      <c r="F314" s="28"/>
      <c r="G314" s="30">
        <f>G316+G315</f>
        <v>10191.6</v>
      </c>
      <c r="H314" s="193">
        <f>H316</f>
        <v>0</v>
      </c>
      <c r="I314" s="1"/>
      <c r="J314" s="1"/>
      <c r="K314" s="1"/>
      <c r="L314" s="1"/>
      <c r="M314" s="1"/>
      <c r="N314" s="1"/>
    </row>
    <row r="315" spans="1:14" s="4" customFormat="1" ht="15.75">
      <c r="A315" s="115" t="s">
        <v>103</v>
      </c>
      <c r="B315" s="29" t="s">
        <v>123</v>
      </c>
      <c r="C315" s="29" t="s">
        <v>114</v>
      </c>
      <c r="D315" s="29" t="s">
        <v>139</v>
      </c>
      <c r="E315" s="132" t="s">
        <v>56</v>
      </c>
      <c r="F315" s="28"/>
      <c r="G315" s="30">
        <f>'Прилож №5'!H417</f>
        <v>11.4</v>
      </c>
      <c r="H315" s="193"/>
      <c r="I315" s="1"/>
      <c r="J315" s="1"/>
      <c r="K315" s="1"/>
      <c r="L315" s="1"/>
      <c r="M315" s="1"/>
      <c r="N315" s="1"/>
    </row>
    <row r="316" spans="1:14" s="4" customFormat="1" ht="15.75">
      <c r="A316" s="109" t="s">
        <v>155</v>
      </c>
      <c r="B316" s="29" t="s">
        <v>123</v>
      </c>
      <c r="C316" s="29" t="s">
        <v>114</v>
      </c>
      <c r="D316" s="29" t="s">
        <v>139</v>
      </c>
      <c r="E316" s="132" t="s">
        <v>156</v>
      </c>
      <c r="F316" s="28"/>
      <c r="G316" s="30">
        <f>'Прилож №5'!H418</f>
        <v>10180.2</v>
      </c>
      <c r="H316" s="193">
        <f>'Прилож №5'!I418</f>
        <v>0</v>
      </c>
      <c r="I316" s="1"/>
      <c r="J316" s="1"/>
      <c r="K316" s="1"/>
      <c r="L316" s="1"/>
      <c r="M316" s="1"/>
      <c r="N316" s="1"/>
    </row>
    <row r="317" spans="1:14" s="4" customFormat="1" ht="30">
      <c r="A317" s="71" t="s">
        <v>74</v>
      </c>
      <c r="B317" s="33" t="s">
        <v>123</v>
      </c>
      <c r="C317" s="33" t="s">
        <v>114</v>
      </c>
      <c r="D317" s="33" t="s">
        <v>28</v>
      </c>
      <c r="E317" s="155"/>
      <c r="F317" s="32"/>
      <c r="G317" s="34">
        <f>G318+G320</f>
        <v>11117</v>
      </c>
      <c r="H317" s="198">
        <f>H318+H320</f>
        <v>0</v>
      </c>
      <c r="I317" s="1"/>
      <c r="J317" s="1"/>
      <c r="K317" s="1"/>
      <c r="L317" s="1"/>
      <c r="M317" s="1"/>
      <c r="N317" s="1"/>
    </row>
    <row r="318" spans="1:14" s="4" customFormat="1" ht="18" customHeight="1">
      <c r="A318" s="184" t="s">
        <v>237</v>
      </c>
      <c r="B318" s="29" t="s">
        <v>123</v>
      </c>
      <c r="C318" s="29" t="s">
        <v>114</v>
      </c>
      <c r="D318" s="29" t="s">
        <v>247</v>
      </c>
      <c r="E318" s="132"/>
      <c r="F318" s="32"/>
      <c r="G318" s="30">
        <f>G319</f>
        <v>283.7</v>
      </c>
      <c r="H318" s="193">
        <f>H319</f>
        <v>0</v>
      </c>
      <c r="I318" s="1"/>
      <c r="J318" s="1"/>
      <c r="K318" s="1"/>
      <c r="L318" s="1"/>
      <c r="M318" s="1"/>
      <c r="N318" s="1"/>
    </row>
    <row r="319" spans="1:14" s="4" customFormat="1" ht="15.75">
      <c r="A319" s="185" t="s">
        <v>155</v>
      </c>
      <c r="B319" s="29" t="s">
        <v>123</v>
      </c>
      <c r="C319" s="29" t="s">
        <v>114</v>
      </c>
      <c r="D319" s="29" t="s">
        <v>247</v>
      </c>
      <c r="E319" s="132" t="s">
        <v>156</v>
      </c>
      <c r="F319" s="32"/>
      <c r="G319" s="30">
        <f>'Прилож №5'!H421</f>
        <v>283.7</v>
      </c>
      <c r="H319" s="193">
        <f>'Прилож №5'!I421</f>
        <v>0</v>
      </c>
      <c r="I319" s="1"/>
      <c r="J319" s="1"/>
      <c r="K319" s="1"/>
      <c r="L319" s="1"/>
      <c r="M319" s="1"/>
      <c r="N319" s="1"/>
    </row>
    <row r="320" spans="1:14" s="4" customFormat="1" ht="15.75">
      <c r="A320" s="110" t="s">
        <v>18</v>
      </c>
      <c r="B320" s="29" t="s">
        <v>123</v>
      </c>
      <c r="C320" s="29" t="s">
        <v>114</v>
      </c>
      <c r="D320" s="29" t="s">
        <v>140</v>
      </c>
      <c r="E320" s="132"/>
      <c r="F320" s="28"/>
      <c r="G320" s="30">
        <f>G321</f>
        <v>10833.3</v>
      </c>
      <c r="H320" s="193">
        <f>H321</f>
        <v>0</v>
      </c>
      <c r="I320" s="1"/>
      <c r="J320" s="1"/>
      <c r="K320" s="1"/>
      <c r="L320" s="1"/>
      <c r="M320" s="1"/>
      <c r="N320" s="1"/>
    </row>
    <row r="321" spans="1:14" s="4" customFormat="1" ht="15.75">
      <c r="A321" s="109" t="s">
        <v>103</v>
      </c>
      <c r="B321" s="29" t="s">
        <v>123</v>
      </c>
      <c r="C321" s="29" t="s">
        <v>114</v>
      </c>
      <c r="D321" s="29" t="s">
        <v>140</v>
      </c>
      <c r="E321" s="132" t="s">
        <v>156</v>
      </c>
      <c r="F321" s="28"/>
      <c r="G321" s="30">
        <f>'Прилож №5'!H423</f>
        <v>10833.3</v>
      </c>
      <c r="H321" s="193">
        <f>'Прилож №5'!I423</f>
        <v>0</v>
      </c>
      <c r="I321" s="1"/>
      <c r="J321" s="1"/>
      <c r="K321" s="1"/>
      <c r="L321" s="1"/>
      <c r="M321" s="1"/>
      <c r="N321" s="1"/>
    </row>
    <row r="322" spans="1:14" s="4" customFormat="1" ht="15.75">
      <c r="A322" s="53" t="s">
        <v>226</v>
      </c>
      <c r="B322" s="33" t="s">
        <v>123</v>
      </c>
      <c r="C322" s="33" t="s">
        <v>116</v>
      </c>
      <c r="D322" s="33"/>
      <c r="E322" s="156"/>
      <c r="F322" s="131" t="s">
        <v>36</v>
      </c>
      <c r="G322" s="50">
        <f>G323+G326+G328+G333</f>
        <v>20396</v>
      </c>
      <c r="H322" s="50">
        <f>H323+H326+H328+H333</f>
        <v>0</v>
      </c>
      <c r="I322" s="1"/>
      <c r="J322" s="1"/>
      <c r="K322" s="1"/>
      <c r="L322" s="1"/>
      <c r="M322" s="1"/>
      <c r="N322" s="1"/>
    </row>
    <row r="323" spans="1:14" s="4" customFormat="1" ht="15.75">
      <c r="A323" s="111" t="s">
        <v>95</v>
      </c>
      <c r="B323" s="29" t="s">
        <v>123</v>
      </c>
      <c r="C323" s="29" t="s">
        <v>116</v>
      </c>
      <c r="D323" s="49" t="s">
        <v>157</v>
      </c>
      <c r="E323" s="156"/>
      <c r="F323" s="131"/>
      <c r="G323" s="50">
        <f>G324</f>
        <v>7358.5</v>
      </c>
      <c r="H323" s="197">
        <f>H324</f>
        <v>0</v>
      </c>
      <c r="I323" s="1"/>
      <c r="J323" s="1"/>
      <c r="K323" s="1"/>
      <c r="L323" s="1"/>
      <c r="M323" s="1"/>
      <c r="N323" s="1"/>
    </row>
    <row r="324" spans="1:14" s="4" customFormat="1" ht="15.75">
      <c r="A324" s="113" t="s">
        <v>37</v>
      </c>
      <c r="B324" s="29" t="s">
        <v>123</v>
      </c>
      <c r="C324" s="29" t="s">
        <v>116</v>
      </c>
      <c r="D324" s="49" t="s">
        <v>159</v>
      </c>
      <c r="E324" s="156"/>
      <c r="F324" s="131"/>
      <c r="G324" s="50">
        <f>G325</f>
        <v>7358.5</v>
      </c>
      <c r="H324" s="197">
        <f>H325</f>
        <v>0</v>
      </c>
      <c r="I324" s="1"/>
      <c r="J324" s="1"/>
      <c r="K324" s="1"/>
      <c r="L324" s="1"/>
      <c r="M324" s="1"/>
      <c r="N324" s="1"/>
    </row>
    <row r="325" spans="1:14" s="4" customFormat="1" ht="15.75">
      <c r="A325" s="186" t="s">
        <v>152</v>
      </c>
      <c r="B325" s="29" t="s">
        <v>123</v>
      </c>
      <c r="C325" s="29" t="s">
        <v>116</v>
      </c>
      <c r="D325" s="29" t="s">
        <v>159</v>
      </c>
      <c r="E325" s="154" t="s">
        <v>158</v>
      </c>
      <c r="F325" s="56" t="s">
        <v>158</v>
      </c>
      <c r="G325" s="50">
        <f>'Прилож №5'!H427</f>
        <v>7358.5</v>
      </c>
      <c r="H325" s="197">
        <f>'Прилож №5'!I427</f>
        <v>0</v>
      </c>
      <c r="I325" s="1"/>
      <c r="J325" s="1"/>
      <c r="K325" s="1"/>
      <c r="L325" s="1"/>
      <c r="M325" s="1"/>
      <c r="N325" s="1"/>
    </row>
    <row r="326" spans="1:14" s="4" customFormat="1" ht="16.5" customHeight="1">
      <c r="A326" s="184" t="s">
        <v>237</v>
      </c>
      <c r="B326" s="29" t="s">
        <v>123</v>
      </c>
      <c r="C326" s="29" t="s">
        <v>116</v>
      </c>
      <c r="D326" s="29" t="s">
        <v>238</v>
      </c>
      <c r="E326" s="154"/>
      <c r="F326" s="56"/>
      <c r="G326" s="50">
        <f>G327</f>
        <v>56.099999999999994</v>
      </c>
      <c r="H326" s="197">
        <f>H327</f>
        <v>0</v>
      </c>
      <c r="I326" s="1"/>
      <c r="J326" s="1"/>
      <c r="K326" s="1"/>
      <c r="L326" s="1"/>
      <c r="M326" s="1"/>
      <c r="N326" s="1"/>
    </row>
    <row r="327" spans="1:14" s="4" customFormat="1" ht="15.75">
      <c r="A327" s="186" t="s">
        <v>152</v>
      </c>
      <c r="B327" s="29" t="s">
        <v>123</v>
      </c>
      <c r="C327" s="29" t="s">
        <v>116</v>
      </c>
      <c r="D327" s="29" t="s">
        <v>238</v>
      </c>
      <c r="E327" s="154" t="s">
        <v>158</v>
      </c>
      <c r="F327" s="56"/>
      <c r="G327" s="50">
        <f>'Прилож №5'!H429</f>
        <v>56.099999999999994</v>
      </c>
      <c r="H327" s="197">
        <f>'Прилож №5'!I429</f>
        <v>0</v>
      </c>
      <c r="I327" s="1"/>
      <c r="J327" s="1"/>
      <c r="K327" s="1"/>
      <c r="L327" s="1"/>
      <c r="M327" s="1"/>
      <c r="N327" s="1"/>
    </row>
    <row r="328" spans="1:14" s="4" customFormat="1" ht="57.75">
      <c r="A328" s="114" t="s">
        <v>73</v>
      </c>
      <c r="B328" s="29" t="s">
        <v>123</v>
      </c>
      <c r="C328" s="29" t="s">
        <v>116</v>
      </c>
      <c r="D328" s="29" t="s">
        <v>29</v>
      </c>
      <c r="E328" s="132"/>
      <c r="F328" s="56"/>
      <c r="G328" s="30">
        <f>G329+G331</f>
        <v>6052.2</v>
      </c>
      <c r="H328" s="193">
        <f>H329+H331</f>
        <v>0</v>
      </c>
      <c r="I328" s="1"/>
      <c r="J328" s="1"/>
      <c r="K328" s="1"/>
      <c r="L328" s="1"/>
      <c r="M328" s="1"/>
      <c r="N328" s="1"/>
    </row>
    <row r="329" spans="1:14" s="4" customFormat="1" ht="18" customHeight="1">
      <c r="A329" s="184" t="s">
        <v>237</v>
      </c>
      <c r="B329" s="29" t="s">
        <v>123</v>
      </c>
      <c r="C329" s="29" t="s">
        <v>116</v>
      </c>
      <c r="D329" s="29" t="s">
        <v>242</v>
      </c>
      <c r="E329" s="132"/>
      <c r="F329" s="56"/>
      <c r="G329" s="30">
        <f>G330</f>
        <v>58.2</v>
      </c>
      <c r="H329" s="193">
        <f>H330</f>
        <v>0</v>
      </c>
      <c r="I329" s="1"/>
      <c r="J329" s="1"/>
      <c r="K329" s="1"/>
      <c r="L329" s="1"/>
      <c r="M329" s="1"/>
      <c r="N329" s="1"/>
    </row>
    <row r="330" spans="1:14" s="4" customFormat="1" ht="15.75">
      <c r="A330" s="109" t="s">
        <v>155</v>
      </c>
      <c r="B330" s="29" t="s">
        <v>123</v>
      </c>
      <c r="C330" s="29" t="s">
        <v>116</v>
      </c>
      <c r="D330" s="29" t="s">
        <v>242</v>
      </c>
      <c r="E330" s="132" t="s">
        <v>156</v>
      </c>
      <c r="F330" s="56"/>
      <c r="G330" s="30">
        <f>'Прилож №5'!H432</f>
        <v>58.2</v>
      </c>
      <c r="H330" s="193">
        <f>'Прилож №5'!I432</f>
        <v>0</v>
      </c>
      <c r="I330" s="1"/>
      <c r="J330" s="1"/>
      <c r="K330" s="1"/>
      <c r="L330" s="1"/>
      <c r="M330" s="1"/>
      <c r="N330" s="1"/>
    </row>
    <row r="331" spans="1:14" s="4" customFormat="1" ht="15.75">
      <c r="A331" s="110" t="s">
        <v>18</v>
      </c>
      <c r="B331" s="29" t="s">
        <v>123</v>
      </c>
      <c r="C331" s="29" t="s">
        <v>116</v>
      </c>
      <c r="D331" s="29" t="s">
        <v>135</v>
      </c>
      <c r="E331" s="132"/>
      <c r="F331" s="56"/>
      <c r="G331" s="30">
        <f>G332</f>
        <v>5994</v>
      </c>
      <c r="H331" s="193">
        <f>H332</f>
        <v>0</v>
      </c>
      <c r="I331" s="1"/>
      <c r="J331" s="1"/>
      <c r="K331" s="1"/>
      <c r="L331" s="1"/>
      <c r="M331" s="1"/>
      <c r="N331" s="1"/>
    </row>
    <row r="332" spans="1:14" s="4" customFormat="1" ht="15.75">
      <c r="A332" s="47" t="s">
        <v>155</v>
      </c>
      <c r="B332" s="38" t="s">
        <v>123</v>
      </c>
      <c r="C332" s="38" t="s">
        <v>116</v>
      </c>
      <c r="D332" s="38" t="s">
        <v>135</v>
      </c>
      <c r="E332" s="157" t="s">
        <v>156</v>
      </c>
      <c r="F332" s="158"/>
      <c r="G332" s="39">
        <f>'Прилож №5'!H434</f>
        <v>5994</v>
      </c>
      <c r="H332" s="196">
        <f>'Прилож №5'!I434</f>
        <v>0</v>
      </c>
      <c r="I332" s="1"/>
      <c r="J332" s="1"/>
      <c r="K332" s="1"/>
      <c r="L332" s="1"/>
      <c r="M332" s="1"/>
      <c r="N332" s="1"/>
    </row>
    <row r="333" spans="1:14" s="4" customFormat="1" ht="15.75">
      <c r="A333" s="113" t="s">
        <v>83</v>
      </c>
      <c r="B333" s="38" t="s">
        <v>123</v>
      </c>
      <c r="C333" s="38" t="s">
        <v>116</v>
      </c>
      <c r="D333" s="38" t="s">
        <v>84</v>
      </c>
      <c r="E333" s="157"/>
      <c r="F333" s="158"/>
      <c r="G333" s="39">
        <f>G334+G336</f>
        <v>6929.2</v>
      </c>
      <c r="H333" s="196"/>
      <c r="I333" s="1"/>
      <c r="J333" s="1"/>
      <c r="K333" s="1"/>
      <c r="L333" s="1"/>
      <c r="M333" s="1"/>
      <c r="N333" s="1"/>
    </row>
    <row r="334" spans="1:14" s="4" customFormat="1" ht="43.5">
      <c r="A334" s="116" t="s">
        <v>231</v>
      </c>
      <c r="B334" s="38" t="s">
        <v>123</v>
      </c>
      <c r="C334" s="38" t="s">
        <v>116</v>
      </c>
      <c r="D334" s="38" t="s">
        <v>136</v>
      </c>
      <c r="E334" s="132"/>
      <c r="F334" s="56"/>
      <c r="G334" s="30">
        <f>G335</f>
        <v>753.5999999999998</v>
      </c>
      <c r="H334" s="193"/>
      <c r="I334" s="1"/>
      <c r="J334" s="1"/>
      <c r="K334" s="1"/>
      <c r="L334" s="1"/>
      <c r="M334" s="1"/>
      <c r="N334" s="1"/>
    </row>
    <row r="335" spans="1:14" s="4" customFormat="1" ht="15.75">
      <c r="A335" s="127" t="s">
        <v>94</v>
      </c>
      <c r="B335" s="38" t="s">
        <v>123</v>
      </c>
      <c r="C335" s="38" t="s">
        <v>116</v>
      </c>
      <c r="D335" s="38" t="s">
        <v>136</v>
      </c>
      <c r="E335" s="217" t="s">
        <v>158</v>
      </c>
      <c r="F335" s="159"/>
      <c r="G335" s="68">
        <f>'Прилож №5'!H437</f>
        <v>753.5999999999998</v>
      </c>
      <c r="H335" s="199"/>
      <c r="I335" s="1"/>
      <c r="J335" s="1"/>
      <c r="K335" s="1"/>
      <c r="L335" s="1"/>
      <c r="M335" s="1"/>
      <c r="N335" s="1"/>
    </row>
    <row r="336" spans="1:14" s="4" customFormat="1" ht="29.25">
      <c r="A336" s="116" t="s">
        <v>214</v>
      </c>
      <c r="B336" s="38" t="s">
        <v>123</v>
      </c>
      <c r="C336" s="38" t="s">
        <v>116</v>
      </c>
      <c r="D336" s="38" t="s">
        <v>266</v>
      </c>
      <c r="E336" s="132"/>
      <c r="F336" s="56"/>
      <c r="G336" s="30">
        <f>G337+G338</f>
        <v>6175.6</v>
      </c>
      <c r="H336" s="193"/>
      <c r="I336" s="1"/>
      <c r="J336" s="1"/>
      <c r="K336" s="1"/>
      <c r="L336" s="1"/>
      <c r="M336" s="1"/>
      <c r="N336" s="1"/>
    </row>
    <row r="337" spans="1:14" s="4" customFormat="1" ht="15.75">
      <c r="A337" s="109" t="s">
        <v>155</v>
      </c>
      <c r="B337" s="29" t="s">
        <v>123</v>
      </c>
      <c r="C337" s="29" t="s">
        <v>116</v>
      </c>
      <c r="D337" s="29" t="s">
        <v>266</v>
      </c>
      <c r="E337" s="132" t="s">
        <v>156</v>
      </c>
      <c r="F337" s="56"/>
      <c r="G337" s="30">
        <f>'Прилож №5'!H439</f>
        <v>4183.8</v>
      </c>
      <c r="H337" s="193"/>
      <c r="I337" s="1"/>
      <c r="J337" s="1"/>
      <c r="K337" s="1"/>
      <c r="L337" s="1"/>
      <c r="M337" s="1"/>
      <c r="N337" s="1"/>
    </row>
    <row r="338" spans="1:14" s="4" customFormat="1" ht="16.5" thickBot="1">
      <c r="A338" s="113" t="s">
        <v>94</v>
      </c>
      <c r="B338" s="63" t="s">
        <v>123</v>
      </c>
      <c r="C338" s="63" t="s">
        <v>116</v>
      </c>
      <c r="D338" s="63" t="s">
        <v>266</v>
      </c>
      <c r="E338" s="216" t="s">
        <v>158</v>
      </c>
      <c r="F338" s="159"/>
      <c r="G338" s="200">
        <f>'Прилож №5'!H175+'Прилож №5'!H440</f>
        <v>1991.8000000000004</v>
      </c>
      <c r="H338" s="192"/>
      <c r="I338" s="1"/>
      <c r="J338" s="1"/>
      <c r="K338" s="1"/>
      <c r="L338" s="1"/>
      <c r="M338" s="1"/>
      <c r="N338" s="1"/>
    </row>
    <row r="339" spans="1:14" s="4" customFormat="1" ht="16.5" thickBot="1">
      <c r="A339" s="51" t="s">
        <v>199</v>
      </c>
      <c r="B339" s="80" t="s">
        <v>120</v>
      </c>
      <c r="C339" s="22"/>
      <c r="D339" s="22"/>
      <c r="E339" s="214"/>
      <c r="F339" s="52"/>
      <c r="G339" s="120">
        <f>G340+G359+G371+G377+G388</f>
        <v>815376.0000000001</v>
      </c>
      <c r="H339" s="23">
        <f>H340+H359+H371+H377+H388</f>
        <v>807907.4</v>
      </c>
      <c r="I339" s="1"/>
      <c r="J339" s="1"/>
      <c r="K339" s="1"/>
      <c r="L339" s="1"/>
      <c r="M339" s="1"/>
      <c r="N339" s="1"/>
    </row>
    <row r="340" spans="1:14" s="4" customFormat="1" ht="16.5" thickBot="1">
      <c r="A340" s="51" t="s">
        <v>141</v>
      </c>
      <c r="B340" s="80" t="s">
        <v>120</v>
      </c>
      <c r="C340" s="22" t="s">
        <v>114</v>
      </c>
      <c r="D340" s="22"/>
      <c r="E340" s="214"/>
      <c r="F340" s="20"/>
      <c r="G340" s="23">
        <f>G341+G352</f>
        <v>107847.80000000003</v>
      </c>
      <c r="H340" s="23">
        <f>H341+H352</f>
        <v>101682.30000000003</v>
      </c>
      <c r="I340" s="1"/>
      <c r="J340" s="1"/>
      <c r="K340" s="1"/>
      <c r="L340" s="1"/>
      <c r="M340" s="1"/>
      <c r="N340" s="1"/>
    </row>
    <row r="341" spans="1:14" s="4" customFormat="1" ht="15.75">
      <c r="A341" s="113" t="s">
        <v>191</v>
      </c>
      <c r="B341" s="49" t="s">
        <v>120</v>
      </c>
      <c r="C341" s="91" t="s">
        <v>114</v>
      </c>
      <c r="D341" s="163" t="s">
        <v>30</v>
      </c>
      <c r="E341" s="154"/>
      <c r="F341" s="48"/>
      <c r="G341" s="50">
        <f>G342+G346+G350+G348+G344+G351</f>
        <v>105018.70000000003</v>
      </c>
      <c r="H341" s="50">
        <f>H342+H346+H350+H348+H344</f>
        <v>98853.20000000003</v>
      </c>
      <c r="I341" s="1"/>
      <c r="J341" s="1"/>
      <c r="K341" s="1"/>
      <c r="L341" s="1"/>
      <c r="M341" s="1"/>
      <c r="N341" s="1"/>
    </row>
    <row r="342" spans="1:14" s="4" customFormat="1" ht="43.5">
      <c r="A342" s="114" t="s">
        <v>337</v>
      </c>
      <c r="B342" s="49" t="s">
        <v>120</v>
      </c>
      <c r="C342" s="91" t="s">
        <v>114</v>
      </c>
      <c r="D342" s="29" t="s">
        <v>338</v>
      </c>
      <c r="E342" s="28"/>
      <c r="F342" s="58"/>
      <c r="G342" s="50">
        <f>G343</f>
        <v>84852.90000000002</v>
      </c>
      <c r="H342" s="50">
        <f>H343</f>
        <v>84852.90000000002</v>
      </c>
      <c r="I342" s="1"/>
      <c r="J342" s="1"/>
      <c r="K342" s="1"/>
      <c r="L342" s="1"/>
      <c r="M342" s="1"/>
      <c r="N342" s="1"/>
    </row>
    <row r="343" spans="1:14" s="4" customFormat="1" ht="15.75">
      <c r="A343" s="269" t="s">
        <v>322</v>
      </c>
      <c r="B343" s="49" t="s">
        <v>120</v>
      </c>
      <c r="C343" s="91" t="s">
        <v>114</v>
      </c>
      <c r="D343" s="29" t="s">
        <v>338</v>
      </c>
      <c r="E343" s="28" t="s">
        <v>319</v>
      </c>
      <c r="F343" s="133" t="s">
        <v>319</v>
      </c>
      <c r="G343" s="50">
        <f>'Прилож №5'!H180</f>
        <v>84852.90000000002</v>
      </c>
      <c r="H343" s="50">
        <f>'Прилож №5'!I180</f>
        <v>84852.90000000002</v>
      </c>
      <c r="I343" s="1"/>
      <c r="J343" s="1"/>
      <c r="K343" s="1"/>
      <c r="L343" s="1"/>
      <c r="M343" s="1"/>
      <c r="N343" s="1"/>
    </row>
    <row r="344" spans="1:14" s="4" customFormat="1" ht="57.75">
      <c r="A344" s="201" t="s">
        <v>355</v>
      </c>
      <c r="B344" s="49" t="s">
        <v>120</v>
      </c>
      <c r="C344" s="91" t="s">
        <v>114</v>
      </c>
      <c r="D344" s="29" t="s">
        <v>354</v>
      </c>
      <c r="E344" s="28"/>
      <c r="F344" s="133"/>
      <c r="G344" s="50">
        <f>G345</f>
        <v>1019.5</v>
      </c>
      <c r="H344" s="50">
        <f>H345</f>
        <v>952</v>
      </c>
      <c r="I344" s="1"/>
      <c r="J344" s="1"/>
      <c r="K344" s="1"/>
      <c r="L344" s="1"/>
      <c r="M344" s="1"/>
      <c r="N344" s="1"/>
    </row>
    <row r="345" spans="1:14" s="4" customFormat="1" ht="15.75">
      <c r="A345" s="269" t="s">
        <v>322</v>
      </c>
      <c r="B345" s="49" t="s">
        <v>120</v>
      </c>
      <c r="C345" s="91" t="s">
        <v>114</v>
      </c>
      <c r="D345" s="29" t="s">
        <v>354</v>
      </c>
      <c r="E345" s="28" t="s">
        <v>319</v>
      </c>
      <c r="F345" s="133"/>
      <c r="G345" s="50">
        <f>'Прилож №5'!H182</f>
        <v>1019.5</v>
      </c>
      <c r="H345" s="50">
        <f>'Прилож №5'!I182</f>
        <v>952</v>
      </c>
      <c r="I345" s="1"/>
      <c r="J345" s="1"/>
      <c r="K345" s="1"/>
      <c r="L345" s="1"/>
      <c r="M345" s="1"/>
      <c r="N345" s="1"/>
    </row>
    <row r="346" spans="1:14" s="4" customFormat="1" ht="45.75" customHeight="1">
      <c r="A346" s="114" t="s">
        <v>346</v>
      </c>
      <c r="B346" s="49" t="s">
        <v>120</v>
      </c>
      <c r="C346" s="91" t="s">
        <v>114</v>
      </c>
      <c r="D346" s="29" t="s">
        <v>343</v>
      </c>
      <c r="E346" s="28"/>
      <c r="F346" s="58"/>
      <c r="G346" s="50">
        <f>G347</f>
        <v>11548.3</v>
      </c>
      <c r="H346" s="50">
        <f>H347</f>
        <v>11548.3</v>
      </c>
      <c r="I346" s="1"/>
      <c r="J346" s="1"/>
      <c r="K346" s="1"/>
      <c r="L346" s="1"/>
      <c r="M346" s="1"/>
      <c r="N346" s="1"/>
    </row>
    <row r="347" spans="1:14" s="4" customFormat="1" ht="15.75">
      <c r="A347" s="269" t="s">
        <v>322</v>
      </c>
      <c r="B347" s="49" t="s">
        <v>120</v>
      </c>
      <c r="C347" s="91" t="s">
        <v>114</v>
      </c>
      <c r="D347" s="29" t="s">
        <v>343</v>
      </c>
      <c r="E347" s="28" t="s">
        <v>319</v>
      </c>
      <c r="F347" s="133" t="s">
        <v>319</v>
      </c>
      <c r="G347" s="50">
        <f>'Прилож №5'!H184</f>
        <v>11548.3</v>
      </c>
      <c r="H347" s="50">
        <f>'Прилож №5'!I184</f>
        <v>11548.3</v>
      </c>
      <c r="I347" s="1"/>
      <c r="J347" s="1"/>
      <c r="K347" s="1"/>
      <c r="L347" s="1"/>
      <c r="M347" s="1"/>
      <c r="N347" s="1"/>
    </row>
    <row r="348" spans="1:14" s="4" customFormat="1" ht="43.5">
      <c r="A348" s="114" t="s">
        <v>357</v>
      </c>
      <c r="B348" s="49" t="s">
        <v>120</v>
      </c>
      <c r="C348" s="84" t="s">
        <v>114</v>
      </c>
      <c r="D348" s="29" t="s">
        <v>356</v>
      </c>
      <c r="E348" s="28"/>
      <c r="F348" s="133"/>
      <c r="G348" s="50">
        <f>G349</f>
        <v>1500</v>
      </c>
      <c r="H348" s="50">
        <f>H349</f>
        <v>1500</v>
      </c>
      <c r="I348" s="1"/>
      <c r="J348" s="1"/>
      <c r="K348" s="1"/>
      <c r="L348" s="1"/>
      <c r="M348" s="1"/>
      <c r="N348" s="1"/>
    </row>
    <row r="349" spans="1:14" s="4" customFormat="1" ht="15.75">
      <c r="A349" s="269" t="s">
        <v>322</v>
      </c>
      <c r="B349" s="49" t="s">
        <v>120</v>
      </c>
      <c r="C349" s="84" t="s">
        <v>114</v>
      </c>
      <c r="D349" s="29" t="s">
        <v>356</v>
      </c>
      <c r="E349" s="28" t="s">
        <v>319</v>
      </c>
      <c r="F349" s="133" t="s">
        <v>319</v>
      </c>
      <c r="G349" s="50">
        <f>'Прилож №5'!H186</f>
        <v>1500</v>
      </c>
      <c r="H349" s="50">
        <f>'Прилож №5'!I186</f>
        <v>1500</v>
      </c>
      <c r="I349" s="1"/>
      <c r="J349" s="1"/>
      <c r="K349" s="1"/>
      <c r="L349" s="1"/>
      <c r="M349" s="1"/>
      <c r="N349" s="1"/>
    </row>
    <row r="350" spans="1:14" s="4" customFormat="1" ht="15.75">
      <c r="A350" s="109" t="s">
        <v>155</v>
      </c>
      <c r="B350" s="49" t="s">
        <v>120</v>
      </c>
      <c r="C350" s="91" t="s">
        <v>114</v>
      </c>
      <c r="D350" s="29" t="s">
        <v>344</v>
      </c>
      <c r="E350" s="28" t="s">
        <v>156</v>
      </c>
      <c r="F350" s="133" t="s">
        <v>319</v>
      </c>
      <c r="G350" s="30">
        <f>'Прилож №5'!H187</f>
        <v>5453.8</v>
      </c>
      <c r="H350" s="30"/>
      <c r="I350" s="1"/>
      <c r="J350" s="1"/>
      <c r="K350" s="1"/>
      <c r="L350" s="1"/>
      <c r="M350" s="1"/>
      <c r="N350" s="1"/>
    </row>
    <row r="351" spans="1:14" s="4" customFormat="1" ht="15.75">
      <c r="A351" s="186" t="s">
        <v>152</v>
      </c>
      <c r="B351" s="49" t="s">
        <v>120</v>
      </c>
      <c r="C351" s="91" t="s">
        <v>114</v>
      </c>
      <c r="D351" s="29" t="s">
        <v>344</v>
      </c>
      <c r="E351" s="28" t="s">
        <v>158</v>
      </c>
      <c r="F351" s="57"/>
      <c r="G351" s="30">
        <f>'Прилож №5'!H188</f>
        <v>644.2</v>
      </c>
      <c r="H351" s="30"/>
      <c r="I351" s="1"/>
      <c r="J351" s="1"/>
      <c r="K351" s="1"/>
      <c r="L351" s="1"/>
      <c r="M351" s="1"/>
      <c r="N351" s="1"/>
    </row>
    <row r="352" spans="1:14" s="4" customFormat="1" ht="15.75">
      <c r="A352" s="103" t="s">
        <v>170</v>
      </c>
      <c r="B352" s="59" t="s">
        <v>120</v>
      </c>
      <c r="C352" s="82" t="s">
        <v>114</v>
      </c>
      <c r="D352" s="33" t="s">
        <v>171</v>
      </c>
      <c r="E352" s="155"/>
      <c r="F352" s="32"/>
      <c r="G352" s="34">
        <f>G353+G355+G357</f>
        <v>2829.1</v>
      </c>
      <c r="H352" s="34">
        <f>H353+H355+H357</f>
        <v>2829.1</v>
      </c>
      <c r="I352" s="1"/>
      <c r="J352" s="1"/>
      <c r="K352" s="1"/>
      <c r="L352" s="1"/>
      <c r="M352" s="1"/>
      <c r="N352" s="1"/>
    </row>
    <row r="353" spans="1:14" s="4" customFormat="1" ht="29.25">
      <c r="A353" s="114" t="s">
        <v>339</v>
      </c>
      <c r="B353" s="49" t="s">
        <v>120</v>
      </c>
      <c r="C353" s="91" t="s">
        <v>114</v>
      </c>
      <c r="D353" s="29" t="s">
        <v>340</v>
      </c>
      <c r="E353" s="28"/>
      <c r="F353" s="58"/>
      <c r="G353" s="34">
        <f>G354</f>
        <v>2589.1</v>
      </c>
      <c r="H353" s="34">
        <f>H354</f>
        <v>2589.1</v>
      </c>
      <c r="I353" s="1"/>
      <c r="J353" s="1"/>
      <c r="K353" s="1"/>
      <c r="L353" s="1"/>
      <c r="M353" s="1"/>
      <c r="N353" s="1"/>
    </row>
    <row r="354" spans="1:14" s="4" customFormat="1" ht="15.75">
      <c r="A354" s="269" t="s">
        <v>322</v>
      </c>
      <c r="B354" s="49" t="s">
        <v>120</v>
      </c>
      <c r="C354" s="91" t="s">
        <v>114</v>
      </c>
      <c r="D354" s="29" t="s">
        <v>340</v>
      </c>
      <c r="E354" s="28" t="s">
        <v>319</v>
      </c>
      <c r="F354" s="133" t="s">
        <v>319</v>
      </c>
      <c r="G354" s="34">
        <f>'Прилож №5'!H191</f>
        <v>2589.1</v>
      </c>
      <c r="H354" s="34">
        <f>'Прилож №5'!I191</f>
        <v>2589.1</v>
      </c>
      <c r="I354" s="1"/>
      <c r="J354" s="1"/>
      <c r="K354" s="1"/>
      <c r="L354" s="1"/>
      <c r="M354" s="1"/>
      <c r="N354" s="1"/>
    </row>
    <row r="355" spans="1:14" s="4" customFormat="1" ht="43.5">
      <c r="A355" s="114" t="s">
        <v>347</v>
      </c>
      <c r="B355" s="49" t="s">
        <v>120</v>
      </c>
      <c r="C355" s="91" t="s">
        <v>114</v>
      </c>
      <c r="D355" s="29" t="s">
        <v>345</v>
      </c>
      <c r="E355" s="28"/>
      <c r="F355" s="58"/>
      <c r="G355" s="34">
        <f>G356</f>
        <v>210</v>
      </c>
      <c r="H355" s="34">
        <f>H356</f>
        <v>210</v>
      </c>
      <c r="I355" s="1"/>
      <c r="J355" s="1"/>
      <c r="K355" s="1"/>
      <c r="L355" s="1"/>
      <c r="M355" s="1"/>
      <c r="N355" s="1"/>
    </row>
    <row r="356" spans="1:14" s="4" customFormat="1" ht="15.75">
      <c r="A356" s="269" t="s">
        <v>322</v>
      </c>
      <c r="B356" s="49" t="s">
        <v>120</v>
      </c>
      <c r="C356" s="91" t="s">
        <v>114</v>
      </c>
      <c r="D356" s="29" t="s">
        <v>345</v>
      </c>
      <c r="E356" s="28" t="s">
        <v>319</v>
      </c>
      <c r="F356" s="133" t="s">
        <v>319</v>
      </c>
      <c r="G356" s="30">
        <f>'Прилож №5'!H193</f>
        <v>210</v>
      </c>
      <c r="H356" s="30">
        <f>'Прилож №5'!I193</f>
        <v>210</v>
      </c>
      <c r="I356" s="1"/>
      <c r="J356" s="1"/>
      <c r="K356" s="1"/>
      <c r="L356" s="1"/>
      <c r="M356" s="1"/>
      <c r="N356" s="1"/>
    </row>
    <row r="357" spans="1:14" s="4" customFormat="1" ht="43.5">
      <c r="A357" s="114" t="s">
        <v>357</v>
      </c>
      <c r="B357" s="49" t="s">
        <v>120</v>
      </c>
      <c r="C357" s="91" t="s">
        <v>114</v>
      </c>
      <c r="D357" s="29" t="s">
        <v>358</v>
      </c>
      <c r="E357" s="28"/>
      <c r="F357" s="133"/>
      <c r="G357" s="30">
        <f>G358</f>
        <v>30</v>
      </c>
      <c r="H357" s="30">
        <f>H358</f>
        <v>30</v>
      </c>
      <c r="I357" s="1"/>
      <c r="J357" s="1"/>
      <c r="K357" s="1"/>
      <c r="L357" s="1"/>
      <c r="M357" s="1"/>
      <c r="N357" s="1"/>
    </row>
    <row r="358" spans="1:14" s="4" customFormat="1" ht="15.75">
      <c r="A358" s="269" t="s">
        <v>322</v>
      </c>
      <c r="B358" s="49" t="s">
        <v>120</v>
      </c>
      <c r="C358" s="91" t="s">
        <v>114</v>
      </c>
      <c r="D358" s="29" t="s">
        <v>358</v>
      </c>
      <c r="E358" s="28" t="s">
        <v>319</v>
      </c>
      <c r="F358" s="133"/>
      <c r="G358" s="30">
        <f>'Прилож №5'!H195</f>
        <v>30</v>
      </c>
      <c r="H358" s="30">
        <f>'Прилож №5'!I195</f>
        <v>30</v>
      </c>
      <c r="I358" s="1"/>
      <c r="J358" s="1"/>
      <c r="K358" s="1"/>
      <c r="L358" s="1"/>
      <c r="M358" s="1"/>
      <c r="N358" s="1"/>
    </row>
    <row r="359" spans="1:14" s="3" customFormat="1" ht="15.75">
      <c r="A359" s="103" t="s">
        <v>172</v>
      </c>
      <c r="B359" s="59" t="s">
        <v>120</v>
      </c>
      <c r="C359" s="82" t="s">
        <v>115</v>
      </c>
      <c r="D359" s="33"/>
      <c r="E359" s="32"/>
      <c r="F359" s="99"/>
      <c r="G359" s="34">
        <f>G360</f>
        <v>151843.2</v>
      </c>
      <c r="H359" s="34">
        <f>H360</f>
        <v>150628.6</v>
      </c>
      <c r="I359" s="2"/>
      <c r="J359" s="2"/>
      <c r="K359" s="2"/>
      <c r="L359" s="2"/>
      <c r="M359" s="2"/>
      <c r="N359" s="2"/>
    </row>
    <row r="360" spans="1:14" s="3" customFormat="1" ht="15.75">
      <c r="A360" s="110" t="s">
        <v>173</v>
      </c>
      <c r="B360" s="49" t="s">
        <v>120</v>
      </c>
      <c r="C360" s="91" t="s">
        <v>115</v>
      </c>
      <c r="D360" s="29" t="s">
        <v>174</v>
      </c>
      <c r="E360" s="28"/>
      <c r="F360" s="58"/>
      <c r="G360" s="30">
        <f>G363+G365+G369+G361+G367</f>
        <v>151843.2</v>
      </c>
      <c r="H360" s="30">
        <f>H363+H365+H369+H361+H367</f>
        <v>150628.6</v>
      </c>
      <c r="I360" s="2"/>
      <c r="J360" s="2"/>
      <c r="K360" s="2"/>
      <c r="L360" s="2"/>
      <c r="M360" s="2"/>
      <c r="N360" s="2"/>
    </row>
    <row r="361" spans="1:14" s="3" customFormat="1" ht="43.5">
      <c r="A361" s="114" t="s">
        <v>361</v>
      </c>
      <c r="B361" s="49" t="s">
        <v>120</v>
      </c>
      <c r="C361" s="84" t="s">
        <v>115</v>
      </c>
      <c r="D361" s="29" t="s">
        <v>360</v>
      </c>
      <c r="E361" s="28"/>
      <c r="F361" s="58"/>
      <c r="G361" s="30">
        <f>G362</f>
        <v>10111.6</v>
      </c>
      <c r="H361" s="30">
        <f>H362</f>
        <v>10062</v>
      </c>
      <c r="I361" s="2"/>
      <c r="J361" s="2"/>
      <c r="K361" s="2"/>
      <c r="L361" s="2"/>
      <c r="M361" s="2"/>
      <c r="N361" s="2"/>
    </row>
    <row r="362" spans="1:14" s="3" customFormat="1" ht="15.75">
      <c r="A362" s="269" t="s">
        <v>322</v>
      </c>
      <c r="B362" s="49" t="s">
        <v>120</v>
      </c>
      <c r="C362" s="84" t="s">
        <v>115</v>
      </c>
      <c r="D362" s="29" t="s">
        <v>360</v>
      </c>
      <c r="E362" s="28" t="s">
        <v>319</v>
      </c>
      <c r="F362" s="58" t="s">
        <v>319</v>
      </c>
      <c r="G362" s="30">
        <f>'Прилож №5'!H199</f>
        <v>10111.6</v>
      </c>
      <c r="H362" s="30">
        <f>'Прилож №5'!I199</f>
        <v>10062</v>
      </c>
      <c r="I362" s="2"/>
      <c r="J362" s="2"/>
      <c r="K362" s="2"/>
      <c r="L362" s="2"/>
      <c r="M362" s="2"/>
      <c r="N362" s="2"/>
    </row>
    <row r="363" spans="1:14" s="3" customFormat="1" ht="43.5">
      <c r="A363" s="114" t="s">
        <v>349</v>
      </c>
      <c r="B363" s="49" t="s">
        <v>120</v>
      </c>
      <c r="C363" s="91" t="s">
        <v>115</v>
      </c>
      <c r="D363" s="29" t="s">
        <v>341</v>
      </c>
      <c r="E363" s="28"/>
      <c r="F363" s="58" t="s">
        <v>319</v>
      </c>
      <c r="G363" s="30">
        <f>G364</f>
        <v>132039.30000000002</v>
      </c>
      <c r="H363" s="30">
        <f>H364</f>
        <v>132039.30000000002</v>
      </c>
      <c r="I363" s="2"/>
      <c r="J363" s="2"/>
      <c r="K363" s="2"/>
      <c r="L363" s="2"/>
      <c r="M363" s="2"/>
      <c r="N363" s="2"/>
    </row>
    <row r="364" spans="1:14" s="3" customFormat="1" ht="15.75">
      <c r="A364" s="269" t="s">
        <v>322</v>
      </c>
      <c r="B364" s="49" t="s">
        <v>120</v>
      </c>
      <c r="C364" s="91" t="s">
        <v>115</v>
      </c>
      <c r="D364" s="29" t="s">
        <v>341</v>
      </c>
      <c r="E364" s="28" t="s">
        <v>319</v>
      </c>
      <c r="F364" s="58"/>
      <c r="G364" s="30">
        <f>'Прилож №5'!H200</f>
        <v>132039.30000000002</v>
      </c>
      <c r="H364" s="30">
        <f>'Прилож №5'!I200</f>
        <v>132039.30000000002</v>
      </c>
      <c r="I364" s="2"/>
      <c r="J364" s="2"/>
      <c r="K364" s="2"/>
      <c r="L364" s="2"/>
      <c r="M364" s="2"/>
      <c r="N364" s="2"/>
    </row>
    <row r="365" spans="1:14" s="3" customFormat="1" ht="42.75" customHeight="1">
      <c r="A365" s="114" t="s">
        <v>342</v>
      </c>
      <c r="B365" s="49" t="s">
        <v>120</v>
      </c>
      <c r="C365" s="91" t="s">
        <v>115</v>
      </c>
      <c r="D365" s="29" t="s">
        <v>348</v>
      </c>
      <c r="E365" s="28"/>
      <c r="F365" s="58"/>
      <c r="G365" s="30">
        <f>G366</f>
        <v>5861.3</v>
      </c>
      <c r="H365" s="30">
        <f>H366</f>
        <v>5861.3</v>
      </c>
      <c r="I365" s="2"/>
      <c r="J365" s="2"/>
      <c r="K365" s="2"/>
      <c r="L365" s="2"/>
      <c r="M365" s="2"/>
      <c r="N365" s="2"/>
    </row>
    <row r="366" spans="1:14" s="3" customFormat="1" ht="15.75">
      <c r="A366" s="269" t="s">
        <v>322</v>
      </c>
      <c r="B366" s="49" t="s">
        <v>120</v>
      </c>
      <c r="C366" s="91" t="s">
        <v>115</v>
      </c>
      <c r="D366" s="29" t="s">
        <v>348</v>
      </c>
      <c r="E366" s="28" t="s">
        <v>319</v>
      </c>
      <c r="F366" s="58" t="s">
        <v>319</v>
      </c>
      <c r="G366" s="30">
        <f>'Прилож №5'!H202</f>
        <v>5861.3</v>
      </c>
      <c r="H366" s="30">
        <f>'Прилож №5'!I202</f>
        <v>5861.3</v>
      </c>
      <c r="I366" s="2"/>
      <c r="J366" s="2"/>
      <c r="K366" s="2"/>
      <c r="L366" s="2"/>
      <c r="M366" s="2"/>
      <c r="N366" s="2"/>
    </row>
    <row r="367" spans="1:14" s="3" customFormat="1" ht="43.5">
      <c r="A367" s="114" t="s">
        <v>363</v>
      </c>
      <c r="B367" s="49" t="s">
        <v>120</v>
      </c>
      <c r="C367" s="84" t="s">
        <v>115</v>
      </c>
      <c r="D367" s="29" t="s">
        <v>362</v>
      </c>
      <c r="E367" s="28"/>
      <c r="F367" s="58"/>
      <c r="G367" s="30">
        <f>G368</f>
        <v>2666</v>
      </c>
      <c r="H367" s="30">
        <f>H368</f>
        <v>2666</v>
      </c>
      <c r="I367" s="2"/>
      <c r="J367" s="2"/>
      <c r="K367" s="2"/>
      <c r="L367" s="2"/>
      <c r="M367" s="2"/>
      <c r="N367" s="2"/>
    </row>
    <row r="368" spans="1:14" s="3" customFormat="1" ht="15.75">
      <c r="A368" s="269" t="s">
        <v>322</v>
      </c>
      <c r="B368" s="49" t="s">
        <v>120</v>
      </c>
      <c r="C368" s="84" t="s">
        <v>115</v>
      </c>
      <c r="D368" s="29" t="s">
        <v>362</v>
      </c>
      <c r="E368" s="28" t="s">
        <v>319</v>
      </c>
      <c r="F368" s="58" t="s">
        <v>319</v>
      </c>
      <c r="G368" s="30">
        <f>'Прилож №5'!H204</f>
        <v>2666</v>
      </c>
      <c r="H368" s="30">
        <f>'Прилож №5'!I204</f>
        <v>2666</v>
      </c>
      <c r="I368" s="2"/>
      <c r="J368" s="2"/>
      <c r="K368" s="2"/>
      <c r="L368" s="2"/>
      <c r="M368" s="2"/>
      <c r="N368" s="2"/>
    </row>
    <row r="369" spans="1:14" s="4" customFormat="1" ht="15.75">
      <c r="A369" s="110" t="s">
        <v>18</v>
      </c>
      <c r="B369" s="49" t="s">
        <v>120</v>
      </c>
      <c r="C369" s="91" t="s">
        <v>115</v>
      </c>
      <c r="D369" s="29" t="s">
        <v>175</v>
      </c>
      <c r="E369" s="132"/>
      <c r="F369" s="28"/>
      <c r="G369" s="30">
        <f>G370</f>
        <v>1165</v>
      </c>
      <c r="H369" s="30">
        <f>H370</f>
        <v>0</v>
      </c>
      <c r="I369" s="1"/>
      <c r="J369" s="1"/>
      <c r="K369" s="1"/>
      <c r="L369" s="1"/>
      <c r="M369" s="1"/>
      <c r="N369" s="1"/>
    </row>
    <row r="370" spans="1:14" s="4" customFormat="1" ht="15.75">
      <c r="A370" s="185" t="s">
        <v>155</v>
      </c>
      <c r="B370" s="49" t="s">
        <v>120</v>
      </c>
      <c r="C370" s="91" t="s">
        <v>115</v>
      </c>
      <c r="D370" s="29" t="s">
        <v>175</v>
      </c>
      <c r="E370" s="132" t="s">
        <v>319</v>
      </c>
      <c r="F370" s="28"/>
      <c r="G370" s="30">
        <f>'Прилож №5'!H206</f>
        <v>1165</v>
      </c>
      <c r="H370" s="30">
        <f>'Прилож №5'!I206</f>
        <v>0</v>
      </c>
      <c r="I370" s="1"/>
      <c r="J370" s="1"/>
      <c r="K370" s="1"/>
      <c r="L370" s="1"/>
      <c r="M370" s="1"/>
      <c r="N370" s="1"/>
    </row>
    <row r="371" spans="1:14" s="3" customFormat="1" ht="15.75">
      <c r="A371" s="103" t="s">
        <v>176</v>
      </c>
      <c r="B371" s="59" t="s">
        <v>120</v>
      </c>
      <c r="C371" s="82" t="s">
        <v>119</v>
      </c>
      <c r="D371" s="33"/>
      <c r="E371" s="155"/>
      <c r="F371" s="32"/>
      <c r="G371" s="34">
        <f>G373+G375</f>
        <v>390.6</v>
      </c>
      <c r="H371" s="34">
        <f>H373+H375</f>
        <v>390.6</v>
      </c>
      <c r="I371" s="2"/>
      <c r="J371" s="2"/>
      <c r="K371" s="2"/>
      <c r="L371" s="2"/>
      <c r="M371" s="2"/>
      <c r="N371" s="2"/>
    </row>
    <row r="372" spans="1:14" s="3" customFormat="1" ht="15.75">
      <c r="A372" s="109" t="s">
        <v>191</v>
      </c>
      <c r="B372" s="49" t="s">
        <v>120</v>
      </c>
      <c r="C372" s="91" t="s">
        <v>119</v>
      </c>
      <c r="D372" s="29" t="s">
        <v>30</v>
      </c>
      <c r="E372" s="155"/>
      <c r="F372" s="32"/>
      <c r="G372" s="30">
        <f>G373+G375</f>
        <v>390.6</v>
      </c>
      <c r="H372" s="30">
        <f>H373+H375</f>
        <v>390.6</v>
      </c>
      <c r="I372" s="2"/>
      <c r="J372" s="2"/>
      <c r="K372" s="2"/>
      <c r="L372" s="2"/>
      <c r="M372" s="2"/>
      <c r="N372" s="2"/>
    </row>
    <row r="373" spans="1:14" s="3" customFormat="1" ht="43.5">
      <c r="A373" s="114" t="s">
        <v>337</v>
      </c>
      <c r="B373" s="49" t="s">
        <v>120</v>
      </c>
      <c r="C373" s="91" t="s">
        <v>119</v>
      </c>
      <c r="D373" s="29" t="s">
        <v>338</v>
      </c>
      <c r="E373" s="155"/>
      <c r="F373" s="32"/>
      <c r="G373" s="30">
        <f>G374</f>
        <v>390.40000000000003</v>
      </c>
      <c r="H373" s="30">
        <f>H374</f>
        <v>390.40000000000003</v>
      </c>
      <c r="I373" s="2"/>
      <c r="J373" s="2"/>
      <c r="K373" s="2"/>
      <c r="L373" s="2"/>
      <c r="M373" s="2"/>
      <c r="N373" s="2"/>
    </row>
    <row r="374" spans="1:14" s="3" customFormat="1" ht="15.75">
      <c r="A374" s="269" t="s">
        <v>322</v>
      </c>
      <c r="B374" s="49" t="s">
        <v>120</v>
      </c>
      <c r="C374" s="91" t="s">
        <v>119</v>
      </c>
      <c r="D374" s="29" t="s">
        <v>338</v>
      </c>
      <c r="E374" s="132" t="s">
        <v>319</v>
      </c>
      <c r="F374" s="28"/>
      <c r="G374" s="30">
        <f>'Прилож №5'!H210</f>
        <v>390.40000000000003</v>
      </c>
      <c r="H374" s="30">
        <f>'Прилож №5'!I210</f>
        <v>390.40000000000003</v>
      </c>
      <c r="I374" s="2"/>
      <c r="J374" s="2"/>
      <c r="K374" s="2"/>
      <c r="L374" s="2"/>
      <c r="M374" s="2"/>
      <c r="N374" s="2"/>
    </row>
    <row r="375" spans="1:14" s="3" customFormat="1" ht="46.5" customHeight="1">
      <c r="A375" s="114" t="s">
        <v>346</v>
      </c>
      <c r="B375" s="49" t="s">
        <v>120</v>
      </c>
      <c r="C375" s="91" t="s">
        <v>119</v>
      </c>
      <c r="D375" s="29" t="s">
        <v>343</v>
      </c>
      <c r="E375" s="132"/>
      <c r="F375" s="28"/>
      <c r="G375" s="30">
        <f>G376</f>
        <v>0.2</v>
      </c>
      <c r="H375" s="30">
        <f>H376</f>
        <v>0.2</v>
      </c>
      <c r="I375" s="2"/>
      <c r="J375" s="2"/>
      <c r="K375" s="2"/>
      <c r="L375" s="2"/>
      <c r="M375" s="2"/>
      <c r="N375" s="2"/>
    </row>
    <row r="376" spans="1:14" s="3" customFormat="1" ht="15.75">
      <c r="A376" s="269" t="s">
        <v>322</v>
      </c>
      <c r="B376" s="49" t="s">
        <v>120</v>
      </c>
      <c r="C376" s="91" t="s">
        <v>119</v>
      </c>
      <c r="D376" s="29" t="s">
        <v>343</v>
      </c>
      <c r="E376" s="132" t="s">
        <v>319</v>
      </c>
      <c r="F376" s="28"/>
      <c r="G376" s="30">
        <f>'Прилож №5'!H212</f>
        <v>0.2</v>
      </c>
      <c r="H376" s="30">
        <f>'Прилож №5'!I212</f>
        <v>0.2</v>
      </c>
      <c r="I376" s="2"/>
      <c r="J376" s="2"/>
      <c r="K376" s="2"/>
      <c r="L376" s="2"/>
      <c r="M376" s="2"/>
      <c r="N376" s="2"/>
    </row>
    <row r="377" spans="1:14" s="3" customFormat="1" ht="15.75">
      <c r="A377" s="103" t="s">
        <v>177</v>
      </c>
      <c r="B377" s="59" t="s">
        <v>120</v>
      </c>
      <c r="C377" s="82" t="s">
        <v>116</v>
      </c>
      <c r="D377" s="33"/>
      <c r="E377" s="28"/>
      <c r="F377" s="58"/>
      <c r="G377" s="34">
        <f>G378+G385</f>
        <v>54389.5</v>
      </c>
      <c r="H377" s="34">
        <f>H378+H385</f>
        <v>54389.5</v>
      </c>
      <c r="I377" s="2"/>
      <c r="J377" s="2"/>
      <c r="K377" s="2"/>
      <c r="L377" s="2"/>
      <c r="M377" s="2"/>
      <c r="N377" s="2"/>
    </row>
    <row r="378" spans="1:14" s="3" customFormat="1" ht="15.75">
      <c r="A378" s="110" t="s">
        <v>178</v>
      </c>
      <c r="B378" s="49" t="s">
        <v>120</v>
      </c>
      <c r="C378" s="91" t="s">
        <v>116</v>
      </c>
      <c r="D378" s="29" t="s">
        <v>179</v>
      </c>
      <c r="E378" s="28"/>
      <c r="F378" s="58"/>
      <c r="G378" s="30">
        <f>G379+G381+G384</f>
        <v>51343.5</v>
      </c>
      <c r="H378" s="30">
        <f>H379+H381+H384</f>
        <v>51343.5</v>
      </c>
      <c r="I378" s="2"/>
      <c r="J378" s="2"/>
      <c r="K378" s="2"/>
      <c r="L378" s="2"/>
      <c r="M378" s="2"/>
      <c r="N378" s="2"/>
    </row>
    <row r="379" spans="1:14" s="3" customFormat="1" ht="29.25">
      <c r="A379" s="114" t="s">
        <v>351</v>
      </c>
      <c r="B379" s="49" t="s">
        <v>120</v>
      </c>
      <c r="C379" s="91" t="s">
        <v>116</v>
      </c>
      <c r="D379" s="29" t="s">
        <v>350</v>
      </c>
      <c r="E379" s="28"/>
      <c r="F379" s="58"/>
      <c r="G379" s="30">
        <f>G380</f>
        <v>50878.3</v>
      </c>
      <c r="H379" s="30">
        <f>H380</f>
        <v>50878.3</v>
      </c>
      <c r="I379" s="2"/>
      <c r="J379" s="2"/>
      <c r="K379" s="2"/>
      <c r="L379" s="2"/>
      <c r="M379" s="2"/>
      <c r="N379" s="2"/>
    </row>
    <row r="380" spans="1:14" s="3" customFormat="1" ht="15.75">
      <c r="A380" s="269" t="s">
        <v>322</v>
      </c>
      <c r="B380" s="49" t="s">
        <v>120</v>
      </c>
      <c r="C380" s="91" t="s">
        <v>116</v>
      </c>
      <c r="D380" s="29" t="s">
        <v>350</v>
      </c>
      <c r="E380" s="28" t="s">
        <v>319</v>
      </c>
      <c r="F380" s="58" t="s">
        <v>319</v>
      </c>
      <c r="G380" s="30">
        <f>'Прилож №5'!H216</f>
        <v>50878.3</v>
      </c>
      <c r="H380" s="30">
        <f>'Прилож №5'!I216</f>
        <v>50878.3</v>
      </c>
      <c r="I380" s="2"/>
      <c r="J380" s="2"/>
      <c r="K380" s="2"/>
      <c r="L380" s="2"/>
      <c r="M380" s="2"/>
      <c r="N380" s="2"/>
    </row>
    <row r="381" spans="1:14" s="3" customFormat="1" ht="43.5">
      <c r="A381" s="114" t="s">
        <v>352</v>
      </c>
      <c r="B381" s="49" t="s">
        <v>120</v>
      </c>
      <c r="C381" s="91" t="s">
        <v>116</v>
      </c>
      <c r="D381" s="29" t="s">
        <v>353</v>
      </c>
      <c r="E381" s="29"/>
      <c r="F381" s="58"/>
      <c r="G381" s="30">
        <f>G382</f>
        <v>65.2</v>
      </c>
      <c r="H381" s="30">
        <f>H382</f>
        <v>65.2</v>
      </c>
      <c r="I381" s="2"/>
      <c r="J381" s="2"/>
      <c r="K381" s="2"/>
      <c r="L381" s="2"/>
      <c r="M381" s="2"/>
      <c r="N381" s="2"/>
    </row>
    <row r="382" spans="1:14" s="4" customFormat="1" ht="15.75">
      <c r="A382" s="269" t="s">
        <v>322</v>
      </c>
      <c r="B382" s="49" t="s">
        <v>120</v>
      </c>
      <c r="C382" s="91" t="s">
        <v>116</v>
      </c>
      <c r="D382" s="38" t="s">
        <v>353</v>
      </c>
      <c r="E382" s="63" t="s">
        <v>319</v>
      </c>
      <c r="F382" s="151" t="s">
        <v>319</v>
      </c>
      <c r="G382" s="39">
        <f>'Прилож №5'!H218</f>
        <v>65.2</v>
      </c>
      <c r="H382" s="30">
        <f>'Прилож №5'!I218</f>
        <v>65.2</v>
      </c>
      <c r="I382" s="1"/>
      <c r="J382" s="1"/>
      <c r="K382" s="1"/>
      <c r="L382" s="1"/>
      <c r="M382" s="1"/>
      <c r="N382" s="1"/>
    </row>
    <row r="383" spans="1:14" s="4" customFormat="1" ht="29.25">
      <c r="A383" s="114" t="s">
        <v>365</v>
      </c>
      <c r="B383" s="49" t="s">
        <v>120</v>
      </c>
      <c r="C383" s="84" t="s">
        <v>116</v>
      </c>
      <c r="D383" s="84" t="s">
        <v>364</v>
      </c>
      <c r="E383" s="29"/>
      <c r="F383" s="152"/>
      <c r="G383" s="30">
        <f>G384</f>
        <v>400</v>
      </c>
      <c r="H383" s="193">
        <f>H384</f>
        <v>400</v>
      </c>
      <c r="I383" s="1"/>
      <c r="J383" s="1"/>
      <c r="K383" s="1"/>
      <c r="L383" s="1"/>
      <c r="M383" s="1"/>
      <c r="N383" s="1"/>
    </row>
    <row r="384" spans="1:14" s="4" customFormat="1" ht="15.75">
      <c r="A384" s="269" t="s">
        <v>322</v>
      </c>
      <c r="B384" s="49" t="s">
        <v>120</v>
      </c>
      <c r="C384" s="89" t="s">
        <v>116</v>
      </c>
      <c r="D384" s="89" t="s">
        <v>364</v>
      </c>
      <c r="E384" s="38" t="s">
        <v>319</v>
      </c>
      <c r="F384" s="151" t="s">
        <v>319</v>
      </c>
      <c r="G384" s="39">
        <f>'Прилож №5'!H220</f>
        <v>400</v>
      </c>
      <c r="H384" s="196">
        <f>'Прилож №5'!I220</f>
        <v>400</v>
      </c>
      <c r="I384" s="1"/>
      <c r="J384" s="1"/>
      <c r="K384" s="1"/>
      <c r="L384" s="1"/>
      <c r="M384" s="1"/>
      <c r="N384" s="1"/>
    </row>
    <row r="385" spans="1:14" s="4" customFormat="1" ht="15.75">
      <c r="A385" s="110" t="s">
        <v>79</v>
      </c>
      <c r="B385" s="67" t="s">
        <v>120</v>
      </c>
      <c r="C385" s="89" t="s">
        <v>116</v>
      </c>
      <c r="D385" s="89" t="s">
        <v>63</v>
      </c>
      <c r="E385" s="29"/>
      <c r="F385" s="28"/>
      <c r="G385" s="30">
        <f>G386</f>
        <v>3046</v>
      </c>
      <c r="H385" s="196">
        <f>H386</f>
        <v>3046</v>
      </c>
      <c r="I385" s="1"/>
      <c r="J385" s="1"/>
      <c r="K385" s="1"/>
      <c r="L385" s="1"/>
      <c r="M385" s="1"/>
      <c r="N385" s="1"/>
    </row>
    <row r="386" spans="1:14" s="4" customFormat="1" ht="43.5">
      <c r="A386" s="114" t="s">
        <v>180</v>
      </c>
      <c r="B386" s="84" t="s">
        <v>120</v>
      </c>
      <c r="C386" s="84" t="s">
        <v>116</v>
      </c>
      <c r="D386" s="84" t="s">
        <v>160</v>
      </c>
      <c r="E386" s="29"/>
      <c r="F386" s="28"/>
      <c r="G386" s="30">
        <f>G387</f>
        <v>3046</v>
      </c>
      <c r="H386" s="193">
        <f>H387</f>
        <v>3046</v>
      </c>
      <c r="I386" s="1"/>
      <c r="J386" s="1"/>
      <c r="K386" s="1"/>
      <c r="L386" s="1"/>
      <c r="M386" s="1"/>
      <c r="N386" s="1"/>
    </row>
    <row r="387" spans="1:14" s="4" customFormat="1" ht="15.75">
      <c r="A387" s="317" t="s">
        <v>322</v>
      </c>
      <c r="B387" s="84" t="s">
        <v>120</v>
      </c>
      <c r="C387" s="84" t="s">
        <v>116</v>
      </c>
      <c r="D387" s="84" t="s">
        <v>160</v>
      </c>
      <c r="E387" s="29" t="s">
        <v>319</v>
      </c>
      <c r="F387" s="75"/>
      <c r="G387" s="319">
        <f>'Прилож №5'!H223</f>
        <v>3046</v>
      </c>
      <c r="H387" s="193">
        <f>'Прилож №5'!I223</f>
        <v>3046</v>
      </c>
      <c r="I387" s="1"/>
      <c r="J387" s="1"/>
      <c r="K387" s="1"/>
      <c r="L387" s="1"/>
      <c r="M387" s="1"/>
      <c r="N387" s="1"/>
    </row>
    <row r="388" spans="1:14" s="4" customFormat="1" ht="15.75">
      <c r="A388" s="318" t="s">
        <v>401</v>
      </c>
      <c r="B388" s="84" t="s">
        <v>120</v>
      </c>
      <c r="C388" s="84" t="s">
        <v>120</v>
      </c>
      <c r="D388" s="29"/>
      <c r="E388" s="29"/>
      <c r="F388" s="75"/>
      <c r="G388" s="319">
        <f>G390</f>
        <v>500904.9</v>
      </c>
      <c r="H388" s="319">
        <f>H390</f>
        <v>500816.4</v>
      </c>
      <c r="I388" s="1"/>
      <c r="J388" s="1"/>
      <c r="K388" s="1"/>
      <c r="L388" s="1"/>
      <c r="M388" s="1"/>
      <c r="N388" s="1"/>
    </row>
    <row r="389" spans="1:14" s="4" customFormat="1" ht="15.75">
      <c r="A389" s="113" t="s">
        <v>228</v>
      </c>
      <c r="B389" s="84" t="s">
        <v>120</v>
      </c>
      <c r="C389" s="84" t="s">
        <v>120</v>
      </c>
      <c r="D389" s="29" t="s">
        <v>227</v>
      </c>
      <c r="E389" s="29"/>
      <c r="F389" s="75"/>
      <c r="G389" s="319">
        <f>G390</f>
        <v>500904.9</v>
      </c>
      <c r="H389" s="319">
        <f>H390</f>
        <v>500816.4</v>
      </c>
      <c r="I389" s="1"/>
      <c r="J389" s="1"/>
      <c r="K389" s="1"/>
      <c r="L389" s="1"/>
      <c r="M389" s="1"/>
      <c r="N389" s="1"/>
    </row>
    <row r="390" spans="1:14" s="4" customFormat="1" ht="43.5">
      <c r="A390" s="116" t="s">
        <v>399</v>
      </c>
      <c r="B390" s="84" t="s">
        <v>120</v>
      </c>
      <c r="C390" s="84" t="s">
        <v>120</v>
      </c>
      <c r="D390" s="29" t="s">
        <v>398</v>
      </c>
      <c r="E390" s="29"/>
      <c r="F390" s="75"/>
      <c r="G390" s="319">
        <f>G393+G391</f>
        <v>500904.9</v>
      </c>
      <c r="H390" s="319">
        <f>H393+H391</f>
        <v>500816.4</v>
      </c>
      <c r="I390" s="1"/>
      <c r="J390" s="1"/>
      <c r="K390" s="1"/>
      <c r="L390" s="1"/>
      <c r="M390" s="1"/>
      <c r="N390" s="1"/>
    </row>
    <row r="391" spans="1:14" s="4" customFormat="1" ht="43.5">
      <c r="A391" s="251" t="s">
        <v>471</v>
      </c>
      <c r="B391" s="84" t="s">
        <v>120</v>
      </c>
      <c r="C391" s="84" t="s">
        <v>120</v>
      </c>
      <c r="D391" s="29" t="s">
        <v>470</v>
      </c>
      <c r="E391" s="29"/>
      <c r="F391" s="75"/>
      <c r="G391" s="319">
        <f>G392</f>
        <v>231980</v>
      </c>
      <c r="H391" s="319">
        <f>H392</f>
        <v>231980</v>
      </c>
      <c r="I391" s="1"/>
      <c r="J391" s="1"/>
      <c r="K391" s="1"/>
      <c r="L391" s="1"/>
      <c r="M391" s="1"/>
      <c r="N391" s="1"/>
    </row>
    <row r="392" spans="1:14" s="4" customFormat="1" ht="15.75">
      <c r="A392" s="269" t="s">
        <v>322</v>
      </c>
      <c r="B392" s="84" t="s">
        <v>120</v>
      </c>
      <c r="C392" s="84" t="s">
        <v>120</v>
      </c>
      <c r="D392" s="29" t="s">
        <v>470</v>
      </c>
      <c r="E392" s="29" t="s">
        <v>319</v>
      </c>
      <c r="F392" s="75"/>
      <c r="G392" s="319">
        <f>'Прилож №5'!H228</f>
        <v>231980</v>
      </c>
      <c r="H392" s="319">
        <f>'Прилож №5'!I228</f>
        <v>231980</v>
      </c>
      <c r="I392" s="1"/>
      <c r="J392" s="1"/>
      <c r="K392" s="1"/>
      <c r="L392" s="1"/>
      <c r="M392" s="1"/>
      <c r="N392" s="1"/>
    </row>
    <row r="393" spans="1:14" s="4" customFormat="1" ht="29.25">
      <c r="A393" s="201" t="s">
        <v>400</v>
      </c>
      <c r="B393" s="84" t="s">
        <v>120</v>
      </c>
      <c r="C393" s="84" t="s">
        <v>120</v>
      </c>
      <c r="D393" s="29" t="s">
        <v>397</v>
      </c>
      <c r="E393" s="29"/>
      <c r="F393" s="75"/>
      <c r="G393" s="319">
        <f>G394</f>
        <v>268924.9</v>
      </c>
      <c r="H393" s="319">
        <f>H394</f>
        <v>268836.4</v>
      </c>
      <c r="I393" s="1"/>
      <c r="J393" s="1"/>
      <c r="K393" s="1"/>
      <c r="L393" s="1"/>
      <c r="M393" s="1"/>
      <c r="N393" s="1"/>
    </row>
    <row r="394" spans="1:14" s="4" customFormat="1" ht="16.5" thickBot="1">
      <c r="A394" s="269" t="s">
        <v>322</v>
      </c>
      <c r="B394" s="84" t="s">
        <v>120</v>
      </c>
      <c r="C394" s="84" t="s">
        <v>120</v>
      </c>
      <c r="D394" s="29" t="s">
        <v>397</v>
      </c>
      <c r="E394" s="133" t="s">
        <v>319</v>
      </c>
      <c r="F394" s="321"/>
      <c r="G394" s="320">
        <f>'Прилож №5'!H230</f>
        <v>268924.9</v>
      </c>
      <c r="H394" s="320">
        <f>'Прилож №5'!I230</f>
        <v>268836.4</v>
      </c>
      <c r="I394" s="1"/>
      <c r="J394" s="1"/>
      <c r="K394" s="1"/>
      <c r="L394" s="1"/>
      <c r="M394" s="1"/>
      <c r="N394" s="1"/>
    </row>
    <row r="395" spans="1:14" s="4" customFormat="1" ht="16.5" thickBot="1">
      <c r="A395" s="51" t="s">
        <v>3</v>
      </c>
      <c r="B395" s="80" t="s">
        <v>121</v>
      </c>
      <c r="C395" s="22"/>
      <c r="D395" s="22"/>
      <c r="E395" s="214"/>
      <c r="F395" s="130" t="s">
        <v>158</v>
      </c>
      <c r="G395" s="120">
        <f>G396+G400+G423+G430</f>
        <v>82515.79999999999</v>
      </c>
      <c r="H395" s="23">
        <f>H396+H400+H423+H430</f>
        <v>62575.9</v>
      </c>
      <c r="I395" s="1"/>
      <c r="J395" s="1"/>
      <c r="K395" s="1"/>
      <c r="L395" s="1"/>
      <c r="M395" s="1"/>
      <c r="N395" s="1"/>
    </row>
    <row r="396" spans="1:14" s="4" customFormat="1" ht="15.75">
      <c r="A396" s="15" t="s">
        <v>33</v>
      </c>
      <c r="B396" s="59" t="s">
        <v>121</v>
      </c>
      <c r="C396" s="95" t="s">
        <v>114</v>
      </c>
      <c r="D396" s="107"/>
      <c r="E396" s="156"/>
      <c r="F396" s="36"/>
      <c r="G396" s="61">
        <f aca="true" t="shared" si="7" ref="G396:H398">G397</f>
        <v>1375.4</v>
      </c>
      <c r="H396" s="61">
        <f t="shared" si="7"/>
        <v>0</v>
      </c>
      <c r="I396" s="1"/>
      <c r="J396" s="1"/>
      <c r="K396" s="1"/>
      <c r="L396" s="1"/>
      <c r="M396" s="1"/>
      <c r="N396" s="1"/>
    </row>
    <row r="397" spans="1:14" s="4" customFormat="1" ht="15.75">
      <c r="A397" s="109" t="s">
        <v>144</v>
      </c>
      <c r="B397" s="29" t="s">
        <v>121</v>
      </c>
      <c r="C397" s="84" t="s">
        <v>114</v>
      </c>
      <c r="D397" s="29" t="s">
        <v>145</v>
      </c>
      <c r="E397" s="132"/>
      <c r="F397" s="28"/>
      <c r="G397" s="30">
        <f t="shared" si="7"/>
        <v>1375.4</v>
      </c>
      <c r="H397" s="30">
        <f t="shared" si="7"/>
        <v>0</v>
      </c>
      <c r="I397" s="1"/>
      <c r="J397" s="1"/>
      <c r="K397" s="1"/>
      <c r="L397" s="1"/>
      <c r="M397" s="1"/>
      <c r="N397" s="1"/>
    </row>
    <row r="398" spans="1:14" s="4" customFormat="1" ht="29.25">
      <c r="A398" s="111" t="s">
        <v>75</v>
      </c>
      <c r="B398" s="29" t="s">
        <v>121</v>
      </c>
      <c r="C398" s="84" t="s">
        <v>114</v>
      </c>
      <c r="D398" s="29" t="s">
        <v>146</v>
      </c>
      <c r="E398" s="132"/>
      <c r="F398" s="28"/>
      <c r="G398" s="30">
        <f t="shared" si="7"/>
        <v>1375.4</v>
      </c>
      <c r="H398" s="30">
        <f t="shared" si="7"/>
        <v>0</v>
      </c>
      <c r="I398" s="1"/>
      <c r="J398" s="1"/>
      <c r="K398" s="1"/>
      <c r="L398" s="1"/>
      <c r="M398" s="1"/>
      <c r="N398" s="1"/>
    </row>
    <row r="399" spans="1:14" s="4" customFormat="1" ht="15.75">
      <c r="A399" s="111" t="s">
        <v>100</v>
      </c>
      <c r="B399" s="38" t="s">
        <v>121</v>
      </c>
      <c r="C399" s="84" t="s">
        <v>114</v>
      </c>
      <c r="D399" s="29" t="s">
        <v>146</v>
      </c>
      <c r="E399" s="157" t="s">
        <v>38</v>
      </c>
      <c r="F399" s="28"/>
      <c r="G399" s="30">
        <f>'Прилож №5'!H235</f>
        <v>1375.4</v>
      </c>
      <c r="H399" s="30">
        <f>'Прилож №5'!I235</f>
        <v>0</v>
      </c>
      <c r="I399" s="1"/>
      <c r="J399" s="1"/>
      <c r="K399" s="1"/>
      <c r="L399" s="1"/>
      <c r="M399" s="1"/>
      <c r="N399" s="1"/>
    </row>
    <row r="400" spans="1:14" s="4" customFormat="1" ht="15.75">
      <c r="A400" s="53" t="s">
        <v>64</v>
      </c>
      <c r="B400" s="33" t="s">
        <v>121</v>
      </c>
      <c r="C400" s="85" t="s">
        <v>119</v>
      </c>
      <c r="D400" s="84"/>
      <c r="E400" s="38"/>
      <c r="F400" s="28"/>
      <c r="G400" s="30">
        <f>G407+G420+G404+G417+G406</f>
        <v>57728.5</v>
      </c>
      <c r="H400" s="30">
        <f>H407+H420+H404+H417+H406</f>
        <v>47030.4</v>
      </c>
      <c r="I400" s="1"/>
      <c r="J400" s="1"/>
      <c r="K400" s="1"/>
      <c r="L400" s="1"/>
      <c r="M400" s="1"/>
      <c r="N400" s="1"/>
    </row>
    <row r="401" spans="1:14" s="4" customFormat="1" ht="15.75">
      <c r="A401" s="53" t="s">
        <v>388</v>
      </c>
      <c r="B401" s="312" t="s">
        <v>121</v>
      </c>
      <c r="C401" s="312" t="s">
        <v>119</v>
      </c>
      <c r="D401" s="313" t="s">
        <v>390</v>
      </c>
      <c r="E401" s="29"/>
      <c r="F401" s="58"/>
      <c r="G401" s="30">
        <f>G402</f>
        <v>1026</v>
      </c>
      <c r="H401" s="30">
        <f>H402</f>
        <v>1026</v>
      </c>
      <c r="I401" s="1"/>
      <c r="J401" s="1"/>
      <c r="K401" s="1"/>
      <c r="L401" s="1"/>
      <c r="M401" s="1"/>
      <c r="N401" s="1"/>
    </row>
    <row r="402" spans="1:14" s="4" customFormat="1" ht="30">
      <c r="A402" s="71" t="s">
        <v>389</v>
      </c>
      <c r="B402" s="312" t="s">
        <v>121</v>
      </c>
      <c r="C402" s="312" t="s">
        <v>119</v>
      </c>
      <c r="D402" s="313" t="s">
        <v>391</v>
      </c>
      <c r="E402" s="29"/>
      <c r="F402" s="58"/>
      <c r="G402" s="30">
        <f>G403+G405</f>
        <v>1026</v>
      </c>
      <c r="H402" s="30">
        <f>H403+H405</f>
        <v>1026</v>
      </c>
      <c r="I402" s="1"/>
      <c r="J402" s="1"/>
      <c r="K402" s="1"/>
      <c r="L402" s="1"/>
      <c r="M402" s="1"/>
      <c r="N402" s="1"/>
    </row>
    <row r="403" spans="1:14" s="4" customFormat="1" ht="29.25">
      <c r="A403" s="111" t="s">
        <v>461</v>
      </c>
      <c r="B403" s="312" t="s">
        <v>121</v>
      </c>
      <c r="C403" s="312" t="s">
        <v>119</v>
      </c>
      <c r="D403" s="313" t="s">
        <v>392</v>
      </c>
      <c r="E403" s="29"/>
      <c r="F403" s="58"/>
      <c r="G403" s="30">
        <f>G404</f>
        <v>0</v>
      </c>
      <c r="H403" s="30"/>
      <c r="I403" s="1"/>
      <c r="J403" s="1"/>
      <c r="K403" s="1"/>
      <c r="L403" s="1"/>
      <c r="M403" s="1"/>
      <c r="N403" s="1"/>
    </row>
    <row r="404" spans="1:14" s="4" customFormat="1" ht="15.75">
      <c r="A404" s="109" t="s">
        <v>429</v>
      </c>
      <c r="B404" s="312" t="s">
        <v>121</v>
      </c>
      <c r="C404" s="343" t="s">
        <v>119</v>
      </c>
      <c r="D404" s="313" t="s">
        <v>392</v>
      </c>
      <c r="E404" s="38" t="s">
        <v>428</v>
      </c>
      <c r="F404" s="58" t="s">
        <v>38</v>
      </c>
      <c r="G404" s="30">
        <f>'Прилож №5'!H539</f>
        <v>0</v>
      </c>
      <c r="H404" s="30"/>
      <c r="I404" s="1"/>
      <c r="J404" s="1"/>
      <c r="K404" s="1"/>
      <c r="L404" s="1"/>
      <c r="M404" s="1"/>
      <c r="N404" s="1"/>
    </row>
    <row r="405" spans="1:14" s="4" customFormat="1" ht="15.75">
      <c r="A405" s="109" t="s">
        <v>462</v>
      </c>
      <c r="B405" s="312" t="s">
        <v>121</v>
      </c>
      <c r="C405" s="312" t="s">
        <v>119</v>
      </c>
      <c r="D405" s="28" t="s">
        <v>460</v>
      </c>
      <c r="E405" s="29"/>
      <c r="F405" s="69"/>
      <c r="G405" s="30">
        <f>G406</f>
        <v>1026</v>
      </c>
      <c r="H405" s="30">
        <f>H406</f>
        <v>1026</v>
      </c>
      <c r="I405" s="1"/>
      <c r="J405" s="1"/>
      <c r="K405" s="1"/>
      <c r="L405" s="1"/>
      <c r="M405" s="1"/>
      <c r="N405" s="1"/>
    </row>
    <row r="406" spans="1:14" s="4" customFormat="1" ht="15.75">
      <c r="A406" s="109" t="s">
        <v>429</v>
      </c>
      <c r="B406" s="312" t="s">
        <v>121</v>
      </c>
      <c r="C406" s="312" t="s">
        <v>119</v>
      </c>
      <c r="D406" s="28" t="s">
        <v>460</v>
      </c>
      <c r="E406" s="29" t="s">
        <v>428</v>
      </c>
      <c r="F406" s="69" t="s">
        <v>428</v>
      </c>
      <c r="G406" s="30">
        <f>'Прилож №5'!H541</f>
        <v>1026</v>
      </c>
      <c r="H406" s="30">
        <f>'Прилож №5'!I541</f>
        <v>1026</v>
      </c>
      <c r="I406" s="1"/>
      <c r="J406" s="1"/>
      <c r="K406" s="1"/>
      <c r="L406" s="1"/>
      <c r="M406" s="1"/>
      <c r="N406" s="1"/>
    </row>
    <row r="407" spans="1:14" s="4" customFormat="1" ht="15.75">
      <c r="A407" s="111" t="s">
        <v>147</v>
      </c>
      <c r="B407" s="29" t="s">
        <v>121</v>
      </c>
      <c r="C407" s="91" t="s">
        <v>119</v>
      </c>
      <c r="D407" s="84" t="s">
        <v>58</v>
      </c>
      <c r="E407" s="29"/>
      <c r="F407" s="28"/>
      <c r="G407" s="30">
        <f>G413+G415+G408</f>
        <v>50958.6</v>
      </c>
      <c r="H407" s="30">
        <f>H413+H415+H408</f>
        <v>44418.5</v>
      </c>
      <c r="I407" s="1"/>
      <c r="J407" s="1"/>
      <c r="K407" s="1"/>
      <c r="L407" s="1"/>
      <c r="M407" s="1"/>
      <c r="N407" s="1"/>
    </row>
    <row r="408" spans="1:14" s="4" customFormat="1" ht="118.5" customHeight="1">
      <c r="A408" s="314" t="s">
        <v>393</v>
      </c>
      <c r="B408" s="343" t="s">
        <v>121</v>
      </c>
      <c r="C408" s="312" t="s">
        <v>119</v>
      </c>
      <c r="D408" s="313" t="s">
        <v>394</v>
      </c>
      <c r="E408" s="63"/>
      <c r="F408" s="58"/>
      <c r="G408" s="30">
        <f>G411+G409</f>
        <v>6392.6</v>
      </c>
      <c r="H408" s="30">
        <f>H411+H409</f>
        <v>715.5</v>
      </c>
      <c r="I408" s="1"/>
      <c r="J408" s="1"/>
      <c r="K408" s="1"/>
      <c r="L408" s="1"/>
      <c r="M408" s="1"/>
      <c r="N408" s="1"/>
    </row>
    <row r="409" spans="1:14" s="4" customFormat="1" ht="79.5" customHeight="1">
      <c r="A409" s="314" t="s">
        <v>452</v>
      </c>
      <c r="B409" s="29" t="s">
        <v>121</v>
      </c>
      <c r="C409" s="29" t="s">
        <v>119</v>
      </c>
      <c r="D409" s="28" t="s">
        <v>453</v>
      </c>
      <c r="E409" s="29" t="s">
        <v>36</v>
      </c>
      <c r="F409" s="69"/>
      <c r="G409" s="30">
        <f>G410</f>
        <v>0</v>
      </c>
      <c r="H409" s="30">
        <f>H410</f>
        <v>0</v>
      </c>
      <c r="I409" s="1"/>
      <c r="J409" s="1"/>
      <c r="K409" s="1"/>
      <c r="L409" s="1"/>
      <c r="M409" s="1"/>
      <c r="N409" s="1"/>
    </row>
    <row r="410" spans="1:14" s="4" customFormat="1" ht="23.25" customHeight="1">
      <c r="A410" s="109" t="s">
        <v>429</v>
      </c>
      <c r="B410" s="29" t="s">
        <v>121</v>
      </c>
      <c r="C410" s="29" t="s">
        <v>119</v>
      </c>
      <c r="D410" s="28" t="s">
        <v>453</v>
      </c>
      <c r="E410" s="29" t="s">
        <v>428</v>
      </c>
      <c r="F410" s="69" t="s">
        <v>428</v>
      </c>
      <c r="G410" s="30">
        <f>'Прилож №5'!H545</f>
        <v>0</v>
      </c>
      <c r="H410" s="30">
        <f>'Прилож №5'!I545</f>
        <v>0</v>
      </c>
      <c r="I410" s="1"/>
      <c r="J410" s="1"/>
      <c r="K410" s="1"/>
      <c r="L410" s="1"/>
      <c r="M410" s="1"/>
      <c r="N410" s="1"/>
    </row>
    <row r="411" spans="1:14" s="4" customFormat="1" ht="57.75">
      <c r="A411" s="111" t="s">
        <v>395</v>
      </c>
      <c r="B411" s="344" t="s">
        <v>121</v>
      </c>
      <c r="C411" s="312" t="s">
        <v>119</v>
      </c>
      <c r="D411" s="313" t="s">
        <v>396</v>
      </c>
      <c r="E411" s="49" t="s">
        <v>36</v>
      </c>
      <c r="F411" s="58"/>
      <c r="G411" s="30">
        <f>G412</f>
        <v>6392.6</v>
      </c>
      <c r="H411" s="30">
        <f>H412</f>
        <v>715.5</v>
      </c>
      <c r="I411" s="1"/>
      <c r="J411" s="1"/>
      <c r="K411" s="1"/>
      <c r="L411" s="1"/>
      <c r="M411" s="1"/>
      <c r="N411" s="1"/>
    </row>
    <row r="412" spans="1:14" s="4" customFormat="1" ht="15.75">
      <c r="A412" s="109" t="s">
        <v>429</v>
      </c>
      <c r="B412" s="312" t="s">
        <v>121</v>
      </c>
      <c r="C412" s="312" t="s">
        <v>119</v>
      </c>
      <c r="D412" s="313" t="s">
        <v>396</v>
      </c>
      <c r="E412" s="29" t="s">
        <v>428</v>
      </c>
      <c r="F412" s="58" t="s">
        <v>38</v>
      </c>
      <c r="G412" s="30">
        <f>'Прилож №5'!H547</f>
        <v>6392.6</v>
      </c>
      <c r="H412" s="30">
        <f>'Прилож №5'!I547</f>
        <v>715.5</v>
      </c>
      <c r="I412" s="1"/>
      <c r="J412" s="1"/>
      <c r="K412" s="1"/>
      <c r="L412" s="1"/>
      <c r="M412" s="1"/>
      <c r="N412" s="1"/>
    </row>
    <row r="413" spans="1:14" s="4" customFormat="1" ht="15.75">
      <c r="A413" s="109" t="s">
        <v>148</v>
      </c>
      <c r="B413" s="49" t="s">
        <v>121</v>
      </c>
      <c r="C413" s="84" t="s">
        <v>119</v>
      </c>
      <c r="D413" s="84" t="s">
        <v>185</v>
      </c>
      <c r="E413" s="29"/>
      <c r="F413" s="74">
        <v>483</v>
      </c>
      <c r="G413" s="30">
        <f>G414</f>
        <v>863</v>
      </c>
      <c r="H413" s="30">
        <f>H414</f>
        <v>0</v>
      </c>
      <c r="I413" s="1"/>
      <c r="J413" s="1"/>
      <c r="K413" s="1"/>
      <c r="L413" s="1"/>
      <c r="M413" s="1"/>
      <c r="N413" s="1"/>
    </row>
    <row r="414" spans="1:14" s="4" customFormat="1" ht="15.75">
      <c r="A414" s="109" t="s">
        <v>100</v>
      </c>
      <c r="B414" s="29" t="s">
        <v>121</v>
      </c>
      <c r="C414" s="84" t="s">
        <v>119</v>
      </c>
      <c r="D414" s="84" t="s">
        <v>185</v>
      </c>
      <c r="E414" s="29" t="s">
        <v>38</v>
      </c>
      <c r="F414" s="74"/>
      <c r="G414" s="30">
        <f>'Прилож №5'!H239</f>
        <v>863</v>
      </c>
      <c r="H414" s="30">
        <f>'Прилож №5'!I239</f>
        <v>0</v>
      </c>
      <c r="I414" s="1"/>
      <c r="J414" s="1"/>
      <c r="K414" s="1"/>
      <c r="L414" s="1"/>
      <c r="M414" s="1"/>
      <c r="N414" s="1"/>
    </row>
    <row r="415" spans="1:14" s="4" customFormat="1" ht="29.25">
      <c r="A415" s="111" t="s">
        <v>93</v>
      </c>
      <c r="B415" s="29" t="s">
        <v>121</v>
      </c>
      <c r="C415" s="84" t="s">
        <v>119</v>
      </c>
      <c r="D415" s="29" t="s">
        <v>149</v>
      </c>
      <c r="E415" s="154"/>
      <c r="F415" s="74"/>
      <c r="G415" s="30">
        <f>G416</f>
        <v>43703</v>
      </c>
      <c r="H415" s="30">
        <f>H416</f>
        <v>43703</v>
      </c>
      <c r="I415" s="1"/>
      <c r="J415" s="1"/>
      <c r="K415" s="1"/>
      <c r="L415" s="1"/>
      <c r="M415" s="1"/>
      <c r="N415" s="1"/>
    </row>
    <row r="416" spans="1:14" s="4" customFormat="1" ht="33" customHeight="1">
      <c r="A416" s="111" t="s">
        <v>434</v>
      </c>
      <c r="B416" s="38" t="s">
        <v>121</v>
      </c>
      <c r="C416" s="84" t="s">
        <v>119</v>
      </c>
      <c r="D416" s="29" t="s">
        <v>149</v>
      </c>
      <c r="E416" s="157" t="s">
        <v>433</v>
      </c>
      <c r="F416" s="74">
        <v>572</v>
      </c>
      <c r="G416" s="30">
        <f>'Прилож №5'!H241</f>
        <v>43703</v>
      </c>
      <c r="H416" s="30">
        <f>'Прилож №5'!I241</f>
        <v>43703</v>
      </c>
      <c r="I416" s="1"/>
      <c r="J416" s="1"/>
      <c r="K416" s="1"/>
      <c r="L416" s="1"/>
      <c r="M416" s="1"/>
      <c r="N416" s="1"/>
    </row>
    <row r="417" spans="1:14" s="4" customFormat="1" ht="31.5" customHeight="1">
      <c r="A417" s="111" t="s">
        <v>280</v>
      </c>
      <c r="B417" s="29" t="s">
        <v>121</v>
      </c>
      <c r="C417" s="29" t="s">
        <v>119</v>
      </c>
      <c r="D417" s="28" t="s">
        <v>279</v>
      </c>
      <c r="E417" s="29"/>
      <c r="F417" s="69"/>
      <c r="G417" s="30">
        <f>G418</f>
        <v>1585.9</v>
      </c>
      <c r="H417" s="30">
        <f>H418</f>
        <v>1585.9</v>
      </c>
      <c r="I417" s="1"/>
      <c r="J417" s="1"/>
      <c r="K417" s="1"/>
      <c r="L417" s="1"/>
      <c r="M417" s="1"/>
      <c r="N417" s="1"/>
    </row>
    <row r="418" spans="1:14" s="4" customFormat="1" ht="16.5" customHeight="1">
      <c r="A418" s="109" t="s">
        <v>459</v>
      </c>
      <c r="B418" s="29" t="s">
        <v>121</v>
      </c>
      <c r="C418" s="29" t="s">
        <v>119</v>
      </c>
      <c r="D418" s="28" t="s">
        <v>458</v>
      </c>
      <c r="E418" s="29"/>
      <c r="F418" s="69"/>
      <c r="G418" s="30">
        <f>G419</f>
        <v>1585.9</v>
      </c>
      <c r="H418" s="30">
        <f>H419</f>
        <v>1585.9</v>
      </c>
      <c r="I418" s="1"/>
      <c r="J418" s="1"/>
      <c r="K418" s="1"/>
      <c r="L418" s="1"/>
      <c r="M418" s="1"/>
      <c r="N418" s="1"/>
    </row>
    <row r="419" spans="1:14" s="4" customFormat="1" ht="18.75" customHeight="1">
      <c r="A419" s="109" t="s">
        <v>429</v>
      </c>
      <c r="B419" s="29" t="s">
        <v>121</v>
      </c>
      <c r="C419" s="29" t="s">
        <v>119</v>
      </c>
      <c r="D419" s="28" t="s">
        <v>458</v>
      </c>
      <c r="E419" s="29" t="s">
        <v>428</v>
      </c>
      <c r="F419" s="69" t="s">
        <v>428</v>
      </c>
      <c r="G419" s="30">
        <f>'Прилож №5'!H550</f>
        <v>1585.9</v>
      </c>
      <c r="H419" s="30">
        <f>'Прилож №5'!I550</f>
        <v>1585.9</v>
      </c>
      <c r="I419" s="1"/>
      <c r="J419" s="1"/>
      <c r="K419" s="1"/>
      <c r="L419" s="1"/>
      <c r="M419" s="1"/>
      <c r="N419" s="1"/>
    </row>
    <row r="420" spans="1:14" s="4" customFormat="1" ht="13.5" customHeight="1">
      <c r="A420" s="109" t="s">
        <v>83</v>
      </c>
      <c r="B420" s="29" t="s">
        <v>121</v>
      </c>
      <c r="C420" s="91" t="s">
        <v>119</v>
      </c>
      <c r="D420" s="91" t="s">
        <v>84</v>
      </c>
      <c r="E420" s="29"/>
      <c r="F420" s="62"/>
      <c r="G420" s="30">
        <f>G421</f>
        <v>4158</v>
      </c>
      <c r="H420" s="30">
        <f>H421</f>
        <v>0</v>
      </c>
      <c r="I420" s="1"/>
      <c r="J420" s="1"/>
      <c r="K420" s="1"/>
      <c r="L420" s="1"/>
      <c r="M420" s="1"/>
      <c r="N420" s="1"/>
    </row>
    <row r="421" spans="1:14" s="4" customFormat="1" ht="33" customHeight="1">
      <c r="A421" s="116" t="s">
        <v>260</v>
      </c>
      <c r="B421" s="49" t="s">
        <v>121</v>
      </c>
      <c r="C421" s="91" t="s">
        <v>119</v>
      </c>
      <c r="D421" s="49" t="s">
        <v>267</v>
      </c>
      <c r="E421" s="154"/>
      <c r="F421" s="62"/>
      <c r="G421" s="30">
        <f>G422</f>
        <v>4158</v>
      </c>
      <c r="H421" s="30">
        <f>H422</f>
        <v>0</v>
      </c>
      <c r="I421" s="1"/>
      <c r="J421" s="1"/>
      <c r="K421" s="1"/>
      <c r="L421" s="1"/>
      <c r="M421" s="1"/>
      <c r="N421" s="1"/>
    </row>
    <row r="422" spans="1:14" s="4" customFormat="1" ht="13.5" customHeight="1">
      <c r="A422" s="110" t="s">
        <v>94</v>
      </c>
      <c r="B422" s="29" t="s">
        <v>121</v>
      </c>
      <c r="C422" s="91" t="s">
        <v>119</v>
      </c>
      <c r="D422" s="49" t="s">
        <v>267</v>
      </c>
      <c r="E422" s="132" t="s">
        <v>158</v>
      </c>
      <c r="F422" s="62"/>
      <c r="G422" s="30">
        <f>'Прилож №5'!H553</f>
        <v>4158</v>
      </c>
      <c r="H422" s="30">
        <f>'Прилож №5'!I553</f>
        <v>0</v>
      </c>
      <c r="I422" s="1"/>
      <c r="J422" s="1"/>
      <c r="K422" s="1"/>
      <c r="L422" s="1"/>
      <c r="M422" s="1"/>
      <c r="N422" s="1"/>
    </row>
    <row r="423" spans="1:14" s="4" customFormat="1" ht="15" customHeight="1">
      <c r="A423" s="53" t="s">
        <v>169</v>
      </c>
      <c r="B423" s="33" t="s">
        <v>121</v>
      </c>
      <c r="C423" s="82" t="s">
        <v>116</v>
      </c>
      <c r="D423" s="59"/>
      <c r="E423" s="155"/>
      <c r="F423" s="60"/>
      <c r="G423" s="34">
        <f>G427+G424</f>
        <v>15545.5</v>
      </c>
      <c r="H423" s="34">
        <f>H427+H424</f>
        <v>15545.5</v>
      </c>
      <c r="I423" s="1"/>
      <c r="J423" s="1"/>
      <c r="K423" s="1"/>
      <c r="L423" s="1"/>
      <c r="M423" s="1"/>
      <c r="N423" s="1"/>
    </row>
    <row r="424" spans="1:14" s="4" customFormat="1" ht="46.5" customHeight="1">
      <c r="A424" s="111" t="s">
        <v>457</v>
      </c>
      <c r="B424" s="33" t="s">
        <v>121</v>
      </c>
      <c r="C424" s="82" t="s">
        <v>116</v>
      </c>
      <c r="D424" s="29" t="s">
        <v>455</v>
      </c>
      <c r="E424" s="28"/>
      <c r="F424" s="56"/>
      <c r="G424" s="34">
        <f>G425</f>
        <v>3375</v>
      </c>
      <c r="H424" s="34">
        <f>H425</f>
        <v>3375</v>
      </c>
      <c r="I424" s="1"/>
      <c r="J424" s="1"/>
      <c r="K424" s="1"/>
      <c r="L424" s="1"/>
      <c r="M424" s="1"/>
      <c r="N424" s="1"/>
    </row>
    <row r="425" spans="1:14" s="4" customFormat="1" ht="63" customHeight="1">
      <c r="A425" s="111" t="s">
        <v>454</v>
      </c>
      <c r="B425" s="33" t="s">
        <v>121</v>
      </c>
      <c r="C425" s="82" t="s">
        <v>116</v>
      </c>
      <c r="D425" s="29" t="s">
        <v>456</v>
      </c>
      <c r="E425" s="28"/>
      <c r="F425" s="56"/>
      <c r="G425" s="34">
        <f>G426</f>
        <v>3375</v>
      </c>
      <c r="H425" s="34">
        <f>H426</f>
        <v>3375</v>
      </c>
      <c r="I425" s="1"/>
      <c r="J425" s="1"/>
      <c r="K425" s="1"/>
      <c r="L425" s="1"/>
      <c r="M425" s="1"/>
      <c r="N425" s="1"/>
    </row>
    <row r="426" spans="1:14" s="4" customFormat="1" ht="15" customHeight="1">
      <c r="A426" s="112" t="s">
        <v>131</v>
      </c>
      <c r="B426" s="33" t="s">
        <v>121</v>
      </c>
      <c r="C426" s="82" t="s">
        <v>116</v>
      </c>
      <c r="D426" s="49" t="s">
        <v>456</v>
      </c>
      <c r="E426" s="43" t="s">
        <v>425</v>
      </c>
      <c r="F426" s="159" t="s">
        <v>425</v>
      </c>
      <c r="G426" s="34">
        <f>'Прилож №5'!H557</f>
        <v>3375</v>
      </c>
      <c r="H426" s="34">
        <f>'Прилож №5'!I557</f>
        <v>3375</v>
      </c>
      <c r="I426" s="1"/>
      <c r="J426" s="1"/>
      <c r="K426" s="1"/>
      <c r="L426" s="1"/>
      <c r="M426" s="1"/>
      <c r="N426" s="1"/>
    </row>
    <row r="427" spans="1:14" s="4" customFormat="1" ht="15" customHeight="1">
      <c r="A427" s="113" t="s">
        <v>79</v>
      </c>
      <c r="B427" s="29" t="s">
        <v>121</v>
      </c>
      <c r="C427" s="91" t="s">
        <v>116</v>
      </c>
      <c r="D427" s="49" t="s">
        <v>63</v>
      </c>
      <c r="E427" s="132"/>
      <c r="F427" s="62"/>
      <c r="G427" s="30">
        <f>G428</f>
        <v>12170.5</v>
      </c>
      <c r="H427" s="30">
        <f>H428</f>
        <v>12170.5</v>
      </c>
      <c r="I427" s="1"/>
      <c r="J427" s="1"/>
      <c r="K427" s="1"/>
      <c r="L427" s="1"/>
      <c r="M427" s="1"/>
      <c r="N427" s="1"/>
    </row>
    <row r="428" spans="1:14" s="4" customFormat="1" ht="63.75" customHeight="1">
      <c r="A428" s="112" t="s">
        <v>427</v>
      </c>
      <c r="B428" s="29" t="s">
        <v>121</v>
      </c>
      <c r="C428" s="91" t="s">
        <v>116</v>
      </c>
      <c r="D428" s="49" t="s">
        <v>426</v>
      </c>
      <c r="E428" s="132"/>
      <c r="F428" s="62"/>
      <c r="G428" s="30">
        <f>G429</f>
        <v>12170.5</v>
      </c>
      <c r="H428" s="30">
        <f>H429</f>
        <v>12170.5</v>
      </c>
      <c r="I428" s="1"/>
      <c r="J428" s="1"/>
      <c r="K428" s="1"/>
      <c r="L428" s="1"/>
      <c r="M428" s="1"/>
      <c r="N428" s="288"/>
    </row>
    <row r="429" spans="1:14" s="4" customFormat="1" ht="33.75" customHeight="1">
      <c r="A429" s="111" t="s">
        <v>423</v>
      </c>
      <c r="B429" s="29" t="s">
        <v>121</v>
      </c>
      <c r="C429" s="91" t="s">
        <v>116</v>
      </c>
      <c r="D429" s="49" t="s">
        <v>426</v>
      </c>
      <c r="E429" s="154" t="s">
        <v>422</v>
      </c>
      <c r="F429" s="62"/>
      <c r="G429" s="30">
        <f>'Прилож №5'!H362</f>
        <v>12170.5</v>
      </c>
      <c r="H429" s="30">
        <f>'Прилож №5'!I362</f>
        <v>12170.5</v>
      </c>
      <c r="I429" s="1"/>
      <c r="J429" s="1"/>
      <c r="K429" s="1"/>
      <c r="L429" s="1"/>
      <c r="M429" s="1"/>
      <c r="N429" s="1"/>
    </row>
    <row r="430" spans="1:14" s="4" customFormat="1" ht="15.75">
      <c r="A430" s="110" t="s">
        <v>83</v>
      </c>
      <c r="B430" s="29" t="s">
        <v>121</v>
      </c>
      <c r="C430" s="84" t="s">
        <v>130</v>
      </c>
      <c r="D430" s="29" t="s">
        <v>84</v>
      </c>
      <c r="E430" s="132" t="s">
        <v>36</v>
      </c>
      <c r="F430" s="28"/>
      <c r="G430" s="30">
        <f>G431</f>
        <v>7866.4</v>
      </c>
      <c r="H430" s="30">
        <f>H431</f>
        <v>0</v>
      </c>
      <c r="I430" s="1"/>
      <c r="J430" s="1"/>
      <c r="K430" s="1"/>
      <c r="L430" s="1"/>
      <c r="M430" s="1"/>
      <c r="N430" s="1"/>
    </row>
    <row r="431" spans="1:14" s="4" customFormat="1" ht="54" customHeight="1">
      <c r="A431" s="386" t="s">
        <v>249</v>
      </c>
      <c r="B431" s="292" t="s">
        <v>121</v>
      </c>
      <c r="C431" s="290" t="s">
        <v>130</v>
      </c>
      <c r="D431" s="292" t="s">
        <v>151</v>
      </c>
      <c r="E431" s="383" t="s">
        <v>36</v>
      </c>
      <c r="F431" s="338"/>
      <c r="G431" s="341">
        <f>G433+G432</f>
        <v>7866.4</v>
      </c>
      <c r="H431" s="341">
        <f>H433+H432</f>
        <v>0</v>
      </c>
      <c r="I431" s="1"/>
      <c r="J431" s="1"/>
      <c r="K431" s="1"/>
      <c r="L431" s="1"/>
      <c r="M431" s="1"/>
      <c r="N431" s="1"/>
    </row>
    <row r="432" spans="1:14" s="4" customFormat="1" ht="15" customHeight="1">
      <c r="A432" s="110" t="s">
        <v>100</v>
      </c>
      <c r="B432" s="38" t="s">
        <v>121</v>
      </c>
      <c r="C432" s="89" t="s">
        <v>130</v>
      </c>
      <c r="D432" s="38" t="s">
        <v>151</v>
      </c>
      <c r="E432" s="132" t="s">
        <v>38</v>
      </c>
      <c r="F432" s="37"/>
      <c r="G432" s="39">
        <f>'Прилож №5'!H245</f>
        <v>200</v>
      </c>
      <c r="H432" s="39">
        <f>'Прилож №5'!I245</f>
        <v>0</v>
      </c>
      <c r="I432" s="1"/>
      <c r="J432" s="1"/>
      <c r="K432" s="1"/>
      <c r="L432" s="1"/>
      <c r="M432" s="1"/>
      <c r="N432" s="1"/>
    </row>
    <row r="433" spans="1:14" s="4" customFormat="1" ht="16.5" thickBot="1">
      <c r="A433" s="110" t="s">
        <v>94</v>
      </c>
      <c r="B433" s="41" t="s">
        <v>121</v>
      </c>
      <c r="C433" s="97" t="s">
        <v>130</v>
      </c>
      <c r="D433" s="38" t="s">
        <v>151</v>
      </c>
      <c r="E433" s="187" t="s">
        <v>158</v>
      </c>
      <c r="F433" s="40"/>
      <c r="G433" s="42">
        <f>'Прилож №5'!H246+'Прилож №5'!H365</f>
        <v>7666.4</v>
      </c>
      <c r="H433" s="42">
        <f>'Прилож №5'!I246+'Прилож №5'!I365</f>
        <v>0</v>
      </c>
      <c r="I433" s="1"/>
      <c r="J433" s="286"/>
      <c r="K433" s="1"/>
      <c r="L433" s="1"/>
      <c r="M433" s="1"/>
      <c r="N433" s="1"/>
    </row>
    <row r="434" spans="1:14" s="3" customFormat="1" ht="16.5" thickBot="1">
      <c r="A434" s="51" t="s">
        <v>142</v>
      </c>
      <c r="B434" s="22" t="s">
        <v>196</v>
      </c>
      <c r="C434" s="22"/>
      <c r="D434" s="22"/>
      <c r="E434" s="214"/>
      <c r="F434" s="20"/>
      <c r="G434" s="404">
        <f>G435</f>
        <v>334746.5</v>
      </c>
      <c r="H434" s="404">
        <f>H435</f>
        <v>133348</v>
      </c>
      <c r="I434" s="2"/>
      <c r="J434" s="2"/>
      <c r="K434" s="2"/>
      <c r="L434" s="2"/>
      <c r="M434" s="2"/>
      <c r="N434" s="2"/>
    </row>
    <row r="435" spans="1:14" s="3" customFormat="1" ht="15.75">
      <c r="A435" s="15" t="s">
        <v>197</v>
      </c>
      <c r="B435" s="59" t="s">
        <v>196</v>
      </c>
      <c r="C435" s="59" t="s">
        <v>114</v>
      </c>
      <c r="D435" s="59"/>
      <c r="E435" s="156"/>
      <c r="F435" s="36"/>
      <c r="G435" s="405">
        <f>G436+G446+G443</f>
        <v>334746.5</v>
      </c>
      <c r="H435" s="405">
        <f>H436+H446+H443</f>
        <v>133348</v>
      </c>
      <c r="I435" s="2"/>
      <c r="J435" s="2"/>
      <c r="K435" s="2"/>
      <c r="L435" s="2"/>
      <c r="M435" s="2"/>
      <c r="N435" s="2"/>
    </row>
    <row r="436" spans="1:14" s="4" customFormat="1" ht="15.75">
      <c r="A436" s="109" t="s">
        <v>50</v>
      </c>
      <c r="B436" s="49" t="s">
        <v>196</v>
      </c>
      <c r="C436" s="29" t="s">
        <v>114</v>
      </c>
      <c r="D436" s="38" t="s">
        <v>51</v>
      </c>
      <c r="E436" s="132"/>
      <c r="F436" s="28"/>
      <c r="G436" s="164">
        <f>G437+G440</f>
        <v>15655.999999999998</v>
      </c>
      <c r="H436" s="164">
        <f>H437+H440</f>
        <v>0</v>
      </c>
      <c r="I436" s="1"/>
      <c r="J436" s="1"/>
      <c r="K436" s="1"/>
      <c r="L436" s="1"/>
      <c r="M436" s="1"/>
      <c r="N436" s="1"/>
    </row>
    <row r="437" spans="1:14" s="4" customFormat="1" ht="16.5" customHeight="1">
      <c r="A437" s="162" t="s">
        <v>237</v>
      </c>
      <c r="B437" s="49" t="s">
        <v>196</v>
      </c>
      <c r="C437" s="29" t="s">
        <v>114</v>
      </c>
      <c r="D437" s="38" t="s">
        <v>243</v>
      </c>
      <c r="E437" s="132"/>
      <c r="F437" s="28"/>
      <c r="G437" s="30">
        <f>G439+G438</f>
        <v>796.8</v>
      </c>
      <c r="H437" s="30">
        <f>H439+H438</f>
        <v>0</v>
      </c>
      <c r="I437" s="1"/>
      <c r="J437" s="1"/>
      <c r="K437" s="1"/>
      <c r="L437" s="1"/>
      <c r="M437" s="1"/>
      <c r="N437" s="1"/>
    </row>
    <row r="438" spans="1:14" s="4" customFormat="1" ht="15.75">
      <c r="A438" s="115" t="s">
        <v>103</v>
      </c>
      <c r="B438" s="49" t="s">
        <v>196</v>
      </c>
      <c r="C438" s="29" t="s">
        <v>114</v>
      </c>
      <c r="D438" s="38" t="s">
        <v>243</v>
      </c>
      <c r="E438" s="132" t="s">
        <v>56</v>
      </c>
      <c r="F438" s="28"/>
      <c r="G438" s="30">
        <f>'Прилож №5'!H445</f>
        <v>0</v>
      </c>
      <c r="H438" s="30"/>
      <c r="I438" s="1"/>
      <c r="J438" s="1"/>
      <c r="K438" s="1"/>
      <c r="L438" s="1"/>
      <c r="M438" s="1"/>
      <c r="N438" s="1"/>
    </row>
    <row r="439" spans="1:14" s="4" customFormat="1" ht="15.75">
      <c r="A439" s="140" t="s">
        <v>155</v>
      </c>
      <c r="B439" s="49" t="s">
        <v>196</v>
      </c>
      <c r="C439" s="29" t="s">
        <v>114</v>
      </c>
      <c r="D439" s="38" t="s">
        <v>243</v>
      </c>
      <c r="E439" s="132" t="s">
        <v>156</v>
      </c>
      <c r="F439" s="28"/>
      <c r="G439" s="30">
        <f>'Прилож №5'!H446</f>
        <v>796.8</v>
      </c>
      <c r="H439" s="30">
        <f>'Прилож №5'!I446</f>
        <v>0</v>
      </c>
      <c r="I439" s="1"/>
      <c r="J439" s="1"/>
      <c r="K439" s="1"/>
      <c r="L439" s="1"/>
      <c r="M439" s="1"/>
      <c r="N439" s="1"/>
    </row>
    <row r="440" spans="1:14" s="4" customFormat="1" ht="15.75">
      <c r="A440" s="110" t="s">
        <v>18</v>
      </c>
      <c r="B440" s="49" t="s">
        <v>196</v>
      </c>
      <c r="C440" s="29" t="s">
        <v>114</v>
      </c>
      <c r="D440" s="38" t="s">
        <v>143</v>
      </c>
      <c r="E440" s="132"/>
      <c r="F440" s="28"/>
      <c r="G440" s="30">
        <f>G442+G441</f>
        <v>14859.199999999999</v>
      </c>
      <c r="H440" s="30">
        <f>H442+H441</f>
        <v>0</v>
      </c>
      <c r="I440" s="1"/>
      <c r="J440" s="1"/>
      <c r="K440" s="1"/>
      <c r="L440" s="1"/>
      <c r="M440" s="1"/>
      <c r="N440" s="1"/>
    </row>
    <row r="441" spans="1:14" s="4" customFormat="1" ht="15.75">
      <c r="A441" s="47" t="s">
        <v>103</v>
      </c>
      <c r="B441" s="49" t="s">
        <v>196</v>
      </c>
      <c r="C441" s="29" t="s">
        <v>114</v>
      </c>
      <c r="D441" s="38" t="s">
        <v>143</v>
      </c>
      <c r="E441" s="157" t="s">
        <v>56</v>
      </c>
      <c r="F441" s="28"/>
      <c r="G441" s="30">
        <f>'Прилож №5'!H448</f>
        <v>2.4</v>
      </c>
      <c r="H441" s="30"/>
      <c r="I441" s="1"/>
      <c r="J441" s="1"/>
      <c r="K441" s="1"/>
      <c r="L441" s="1"/>
      <c r="M441" s="1"/>
      <c r="N441" s="1"/>
    </row>
    <row r="442" spans="1:14" s="4" customFormat="1" ht="15.75">
      <c r="A442" s="140" t="s">
        <v>155</v>
      </c>
      <c r="B442" s="49" t="s">
        <v>196</v>
      </c>
      <c r="C442" s="29" t="s">
        <v>114</v>
      </c>
      <c r="D442" s="38" t="s">
        <v>143</v>
      </c>
      <c r="E442" s="157" t="s">
        <v>156</v>
      </c>
      <c r="F442" s="28"/>
      <c r="G442" s="30">
        <f>'Прилож №5'!H449</f>
        <v>14856.8</v>
      </c>
      <c r="H442" s="30">
        <f>'Прилож №5'!I449</f>
        <v>0</v>
      </c>
      <c r="I442" s="1"/>
      <c r="J442" s="1"/>
      <c r="K442" s="1"/>
      <c r="L442" s="1"/>
      <c r="M442" s="1"/>
      <c r="N442" s="1"/>
    </row>
    <row r="443" spans="1:14" s="4" customFormat="1" ht="15.75">
      <c r="A443" s="111" t="s">
        <v>228</v>
      </c>
      <c r="B443" s="49" t="s">
        <v>196</v>
      </c>
      <c r="C443" s="29" t="s">
        <v>114</v>
      </c>
      <c r="D443" s="38" t="s">
        <v>227</v>
      </c>
      <c r="E443" s="157"/>
      <c r="F443" s="28"/>
      <c r="G443" s="30">
        <f>G444</f>
        <v>130099.5</v>
      </c>
      <c r="H443" s="30">
        <f>H444</f>
        <v>130000</v>
      </c>
      <c r="I443" s="1"/>
      <c r="J443" s="1"/>
      <c r="K443" s="1"/>
      <c r="L443" s="1"/>
      <c r="M443" s="1"/>
      <c r="N443" s="1"/>
    </row>
    <row r="444" spans="1:14" s="4" customFormat="1" ht="29.25">
      <c r="A444" s="111" t="s">
        <v>294</v>
      </c>
      <c r="B444" s="49" t="s">
        <v>196</v>
      </c>
      <c r="C444" s="29" t="s">
        <v>114</v>
      </c>
      <c r="D444" s="38" t="s">
        <v>295</v>
      </c>
      <c r="E444" s="157"/>
      <c r="F444" s="28"/>
      <c r="G444" s="30">
        <f>G445</f>
        <v>130099.5</v>
      </c>
      <c r="H444" s="30">
        <f>H445</f>
        <v>130000</v>
      </c>
      <c r="I444" s="1"/>
      <c r="J444" s="1"/>
      <c r="K444" s="1"/>
      <c r="L444" s="1"/>
      <c r="M444" s="1"/>
      <c r="N444" s="1"/>
    </row>
    <row r="445" spans="1:14" s="4" customFormat="1" ht="15.75">
      <c r="A445" s="258" t="s">
        <v>296</v>
      </c>
      <c r="B445" s="49" t="s">
        <v>196</v>
      </c>
      <c r="C445" s="29" t="s">
        <v>114</v>
      </c>
      <c r="D445" s="38" t="s">
        <v>295</v>
      </c>
      <c r="E445" s="157" t="s">
        <v>425</v>
      </c>
      <c r="F445" s="28"/>
      <c r="G445" s="30">
        <f>'Прилож №5'!H252</f>
        <v>130099.5</v>
      </c>
      <c r="H445" s="30">
        <f>'Прилож №5'!I252</f>
        <v>130000</v>
      </c>
      <c r="I445" s="1"/>
      <c r="J445" s="1"/>
      <c r="K445" s="1"/>
      <c r="L445" s="1"/>
      <c r="M445" s="1"/>
      <c r="N445" s="1"/>
    </row>
    <row r="446" spans="1:14" s="4" customFormat="1" ht="15.75">
      <c r="A446" s="109" t="s">
        <v>83</v>
      </c>
      <c r="B446" s="49" t="s">
        <v>196</v>
      </c>
      <c r="C446" s="29" t="s">
        <v>114</v>
      </c>
      <c r="D446" s="38" t="s">
        <v>84</v>
      </c>
      <c r="E446" s="132"/>
      <c r="F446" s="28"/>
      <c r="G446" s="66">
        <f>G447</f>
        <v>188991</v>
      </c>
      <c r="H446" s="30">
        <f>H447</f>
        <v>3348</v>
      </c>
      <c r="I446" s="1"/>
      <c r="J446" s="1"/>
      <c r="K446" s="1"/>
      <c r="L446" s="1"/>
      <c r="M446" s="1"/>
      <c r="N446" s="1"/>
    </row>
    <row r="447" spans="1:14" s="4" customFormat="1" ht="43.5">
      <c r="A447" s="117" t="s">
        <v>251</v>
      </c>
      <c r="B447" s="49" t="s">
        <v>196</v>
      </c>
      <c r="C447" s="29" t="s">
        <v>114</v>
      </c>
      <c r="D447" s="38" t="s">
        <v>268</v>
      </c>
      <c r="E447" s="132"/>
      <c r="F447" s="28"/>
      <c r="G447" s="66">
        <f>G448+G449+G450</f>
        <v>188991</v>
      </c>
      <c r="H447" s="30">
        <f>H448+H449+H450</f>
        <v>3348</v>
      </c>
      <c r="I447" s="1"/>
      <c r="J447" s="1"/>
      <c r="K447" s="287"/>
      <c r="L447" s="1"/>
      <c r="M447" s="1"/>
      <c r="N447" s="1"/>
    </row>
    <row r="448" spans="1:14" s="4" customFormat="1" ht="15.75">
      <c r="A448" s="114" t="s">
        <v>131</v>
      </c>
      <c r="B448" s="38" t="s">
        <v>196</v>
      </c>
      <c r="C448" s="38" t="s">
        <v>114</v>
      </c>
      <c r="D448" s="38" t="s">
        <v>268</v>
      </c>
      <c r="E448" s="157" t="s">
        <v>44</v>
      </c>
      <c r="F448" s="28"/>
      <c r="G448" s="66">
        <f>'Прилож №5'!H256</f>
        <v>187000</v>
      </c>
      <c r="H448" s="30">
        <f>'Прилож №5'!I256</f>
        <v>3348</v>
      </c>
      <c r="I448" s="1"/>
      <c r="J448" s="1"/>
      <c r="K448" s="287"/>
      <c r="L448" s="1"/>
      <c r="M448" s="1"/>
      <c r="N448" s="1"/>
    </row>
    <row r="449" spans="1:14" s="4" customFormat="1" ht="15.75">
      <c r="A449" s="109" t="s">
        <v>155</v>
      </c>
      <c r="B449" s="29" t="s">
        <v>196</v>
      </c>
      <c r="C449" s="29" t="s">
        <v>114</v>
      </c>
      <c r="D449" s="29" t="s">
        <v>268</v>
      </c>
      <c r="E449" s="132" t="s">
        <v>156</v>
      </c>
      <c r="F449" s="28"/>
      <c r="G449" s="30">
        <f>'Прилож №5'!H452</f>
        <v>690.8000000000002</v>
      </c>
      <c r="H449" s="30">
        <f>'Прилож №5'!I453</f>
        <v>0</v>
      </c>
      <c r="I449" s="1"/>
      <c r="J449" s="1"/>
      <c r="K449" s="287"/>
      <c r="L449" s="1"/>
      <c r="M449" s="1"/>
      <c r="N449" s="1"/>
    </row>
    <row r="450" spans="1:14" s="4" customFormat="1" ht="16.5" thickBot="1">
      <c r="A450" s="110" t="s">
        <v>94</v>
      </c>
      <c r="B450" s="49" t="s">
        <v>196</v>
      </c>
      <c r="C450" s="49" t="s">
        <v>114</v>
      </c>
      <c r="D450" s="63" t="s">
        <v>268</v>
      </c>
      <c r="E450" s="132" t="s">
        <v>158</v>
      </c>
      <c r="F450" s="28"/>
      <c r="G450" s="30">
        <f>'Прилож №5'!H254+'Прилож №5'!H453</f>
        <v>1300.1999999999998</v>
      </c>
      <c r="H450" s="30">
        <f>'Прилож №5'!I254</f>
        <v>0</v>
      </c>
      <c r="I450" s="1"/>
      <c r="J450" s="1"/>
      <c r="K450" s="287"/>
      <c r="L450" s="1"/>
      <c r="M450" s="1"/>
      <c r="N450" s="1"/>
    </row>
    <row r="451" spans="1:14" s="4" customFormat="1" ht="16.5" thickBot="1">
      <c r="A451" s="70" t="s">
        <v>47</v>
      </c>
      <c r="B451" s="20" t="s">
        <v>80</v>
      </c>
      <c r="C451" s="22" t="s">
        <v>80</v>
      </c>
      <c r="D451" s="22" t="s">
        <v>34</v>
      </c>
      <c r="E451" s="214" t="s">
        <v>36</v>
      </c>
      <c r="F451" s="20"/>
      <c r="G451" s="161">
        <f>G14+G66+G75+G87+G120+G172+G177+G290+G339+G395+G434</f>
        <v>3338101.1999999997</v>
      </c>
      <c r="H451" s="161">
        <f>H14+H66+H75+H87+H120+H172+H177+H290+H339+H395+H434</f>
        <v>1855236.5</v>
      </c>
      <c r="I451" s="1"/>
      <c r="J451" s="1"/>
      <c r="K451" s="1"/>
      <c r="L451" s="1"/>
      <c r="M451" s="1"/>
      <c r="N451" s="1"/>
    </row>
    <row r="455" ht="15.75">
      <c r="G455" s="176"/>
    </row>
    <row r="456" ht="15.75">
      <c r="G456" s="177"/>
    </row>
    <row r="457" ht="15.75">
      <c r="G457" s="177"/>
    </row>
  </sheetData>
  <sheetProtection/>
  <mergeCells count="15">
    <mergeCell ref="G6:H6"/>
    <mergeCell ref="G7:H7"/>
    <mergeCell ref="G2:H2"/>
    <mergeCell ref="G3:H3"/>
    <mergeCell ref="G4:H4"/>
    <mergeCell ref="G5:H5"/>
    <mergeCell ref="A9:H9"/>
    <mergeCell ref="A10:H10"/>
    <mergeCell ref="H12:H13"/>
    <mergeCell ref="A12:A13"/>
    <mergeCell ref="B12:B13"/>
    <mergeCell ref="C12:C13"/>
    <mergeCell ref="D12:D13"/>
    <mergeCell ref="E12:E13"/>
    <mergeCell ref="G12:G13"/>
  </mergeCells>
  <printOptions horizontalCentered="1"/>
  <pageMargins left="0.2755905511811024" right="0.2362204724409449" top="0.1968503937007874" bottom="0.2362204724409449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76"/>
  <sheetViews>
    <sheetView tabSelected="1" zoomScale="90" zoomScaleNormal="90" zoomScalePageLayoutView="0" workbookViewId="0" topLeftCell="A1">
      <selection activeCell="H4" sqref="H4:I4"/>
    </sheetView>
  </sheetViews>
  <sheetFormatPr defaultColWidth="8.796875" defaultRowHeight="15"/>
  <cols>
    <col min="1" max="1" width="57" style="16" customWidth="1"/>
    <col min="2" max="2" width="5.19921875" style="17" customWidth="1"/>
    <col min="3" max="3" width="8.19921875" style="17" customWidth="1"/>
    <col min="4" max="4" width="6.8984375" style="17" customWidth="1"/>
    <col min="5" max="5" width="10.59765625" style="17" customWidth="1"/>
    <col min="6" max="6" width="0.1015625" style="17" hidden="1" customWidth="1"/>
    <col min="7" max="7" width="4.8984375" style="18" customWidth="1"/>
    <col min="8" max="8" width="15.09765625" style="12" customWidth="1"/>
    <col min="9" max="9" width="13.5" style="12" customWidth="1"/>
    <col min="10" max="10" width="11.3984375" style="0" customWidth="1"/>
    <col min="11" max="11" width="9.8984375" style="0" customWidth="1"/>
    <col min="12" max="12" width="20.19921875" style="0" customWidth="1"/>
    <col min="19" max="19" width="32.59765625" style="0" customWidth="1"/>
  </cols>
  <sheetData>
    <row r="1" spans="8:10" ht="15.75">
      <c r="H1" s="421" t="s">
        <v>310</v>
      </c>
      <c r="I1" s="421"/>
      <c r="J1" s="267"/>
    </row>
    <row r="2" spans="8:10" ht="15.75">
      <c r="H2" s="421" t="s">
        <v>311</v>
      </c>
      <c r="I2" s="421"/>
      <c r="J2" s="267"/>
    </row>
    <row r="3" spans="8:10" ht="15.75">
      <c r="H3" s="421" t="s">
        <v>492</v>
      </c>
      <c r="I3" s="421"/>
      <c r="J3" s="267"/>
    </row>
    <row r="4" spans="7:10" ht="15.75">
      <c r="G4" s="265"/>
      <c r="H4" s="421" t="s">
        <v>312</v>
      </c>
      <c r="I4" s="421"/>
      <c r="J4" s="268"/>
    </row>
    <row r="5" spans="7:10" ht="15.75">
      <c r="G5" s="266"/>
      <c r="H5" s="421" t="s">
        <v>313</v>
      </c>
      <c r="I5" s="421"/>
      <c r="J5" s="268"/>
    </row>
    <row r="6" spans="5:10" ht="15.75">
      <c r="E6" s="77"/>
      <c r="F6" s="77"/>
      <c r="G6" s="266"/>
      <c r="H6" s="421" t="s">
        <v>314</v>
      </c>
      <c r="I6" s="421"/>
      <c r="J6" s="268"/>
    </row>
    <row r="7" spans="5:10" ht="15.75">
      <c r="E7" s="77"/>
      <c r="F7" s="77"/>
      <c r="G7" s="266"/>
      <c r="H7" s="408"/>
      <c r="I7" s="408"/>
      <c r="J7" s="268"/>
    </row>
    <row r="8" spans="1:9" ht="22.5" customHeight="1">
      <c r="A8" s="426" t="s">
        <v>234</v>
      </c>
      <c r="B8" s="426"/>
      <c r="C8" s="426"/>
      <c r="D8" s="426"/>
      <c r="E8" s="426"/>
      <c r="F8" s="426"/>
      <c r="G8" s="426"/>
      <c r="H8" s="426"/>
      <c r="I8" s="426"/>
    </row>
    <row r="9" spans="1:9" ht="16.5" thickBot="1">
      <c r="A9" s="12"/>
      <c r="B9" s="77"/>
      <c r="C9" s="77"/>
      <c r="D9" s="77"/>
      <c r="E9" s="77"/>
      <c r="F9" s="77"/>
      <c r="I9" s="78" t="s">
        <v>154</v>
      </c>
    </row>
    <row r="10" spans="1:9" ht="15.75">
      <c r="A10" s="429" t="s">
        <v>0</v>
      </c>
      <c r="B10" s="422" t="s">
        <v>39</v>
      </c>
      <c r="C10" s="422" t="s">
        <v>40</v>
      </c>
      <c r="D10" s="424" t="s">
        <v>192</v>
      </c>
      <c r="E10" s="424" t="s">
        <v>193</v>
      </c>
      <c r="F10" s="79"/>
      <c r="G10" s="431" t="s">
        <v>413</v>
      </c>
      <c r="H10" s="427" t="s">
        <v>41</v>
      </c>
      <c r="I10" s="428" t="s">
        <v>194</v>
      </c>
    </row>
    <row r="11" spans="1:9" ht="63" customHeight="1" thickBot="1">
      <c r="A11" s="430"/>
      <c r="B11" s="423"/>
      <c r="C11" s="423"/>
      <c r="D11" s="425"/>
      <c r="E11" s="425"/>
      <c r="F11" s="129"/>
      <c r="G11" s="432"/>
      <c r="H11" s="423"/>
      <c r="I11" s="425"/>
    </row>
    <row r="12" spans="1:11" ht="27.75" customHeight="1" thickBot="1">
      <c r="A12" s="224" t="s">
        <v>222</v>
      </c>
      <c r="B12" s="80" t="s">
        <v>201</v>
      </c>
      <c r="C12" s="22"/>
      <c r="D12" s="20"/>
      <c r="E12" s="22"/>
      <c r="F12" s="20"/>
      <c r="G12" s="98"/>
      <c r="H12" s="261">
        <f>H13+H46+H55+H66+H96+H147+H231+H247+H176+H152+H172</f>
        <v>2086124.5000000002</v>
      </c>
      <c r="I12" s="23">
        <f>I13+I46+I55+I66+I96+I147+I231+I247+I176+I152+I172</f>
        <v>1416405.1</v>
      </c>
      <c r="K12" s="315"/>
    </row>
    <row r="13" spans="1:9" ht="15.75">
      <c r="A13" s="233" t="s">
        <v>13</v>
      </c>
      <c r="B13" s="95" t="s">
        <v>201</v>
      </c>
      <c r="C13" s="26" t="s">
        <v>114</v>
      </c>
      <c r="D13" s="95"/>
      <c r="E13" s="26"/>
      <c r="F13" s="25"/>
      <c r="G13" s="106"/>
      <c r="H13" s="342">
        <f>H14+H18+H34+H38+H30</f>
        <v>131416</v>
      </c>
      <c r="I13" s="27">
        <f>I14+I18+I34+I38+I30</f>
        <v>9231</v>
      </c>
    </row>
    <row r="14" spans="1:10" s="3" customFormat="1" ht="30">
      <c r="A14" s="226" t="s">
        <v>67</v>
      </c>
      <c r="B14" s="82" t="s">
        <v>201</v>
      </c>
      <c r="C14" s="59" t="s">
        <v>114</v>
      </c>
      <c r="D14" s="82" t="s">
        <v>115</v>
      </c>
      <c r="E14" s="59"/>
      <c r="F14" s="36"/>
      <c r="G14" s="181"/>
      <c r="H14" s="170">
        <f>H15</f>
        <v>3445.2999999999997</v>
      </c>
      <c r="I14" s="50">
        <f>I15</f>
        <v>0</v>
      </c>
      <c r="J14"/>
    </row>
    <row r="15" spans="1:10" s="4" customFormat="1" ht="43.5">
      <c r="A15" s="112" t="s">
        <v>161</v>
      </c>
      <c r="B15" s="91" t="s">
        <v>201</v>
      </c>
      <c r="C15" s="49" t="s">
        <v>114</v>
      </c>
      <c r="D15" s="91" t="s">
        <v>115</v>
      </c>
      <c r="E15" s="49" t="s">
        <v>157</v>
      </c>
      <c r="F15" s="48"/>
      <c r="G15" s="133"/>
      <c r="H15" s="170">
        <f>H17</f>
        <v>3445.2999999999997</v>
      </c>
      <c r="I15" s="50">
        <f>I17</f>
        <v>0</v>
      </c>
      <c r="J15"/>
    </row>
    <row r="16" spans="1:10" s="4" customFormat="1" ht="15.75">
      <c r="A16" s="112" t="s">
        <v>162</v>
      </c>
      <c r="B16" s="84" t="s">
        <v>201</v>
      </c>
      <c r="C16" s="29" t="s">
        <v>114</v>
      </c>
      <c r="D16" s="84" t="s">
        <v>115</v>
      </c>
      <c r="E16" s="29" t="s">
        <v>163</v>
      </c>
      <c r="F16" s="28"/>
      <c r="G16" s="58"/>
      <c r="H16" s="171">
        <f>H17</f>
        <v>3445.2999999999997</v>
      </c>
      <c r="I16" s="30">
        <f>I17</f>
        <v>0</v>
      </c>
      <c r="J16"/>
    </row>
    <row r="17" spans="1:10" s="4" customFormat="1" ht="15.75">
      <c r="A17" s="113" t="s">
        <v>94</v>
      </c>
      <c r="B17" s="84" t="s">
        <v>201</v>
      </c>
      <c r="C17" s="29" t="s">
        <v>114</v>
      </c>
      <c r="D17" s="84" t="s">
        <v>115</v>
      </c>
      <c r="E17" s="38" t="s">
        <v>163</v>
      </c>
      <c r="F17" s="37"/>
      <c r="G17" s="100" t="s">
        <v>158</v>
      </c>
      <c r="H17" s="172">
        <f>2178.9+220.7-155.3+581+620</f>
        <v>3445.2999999999997</v>
      </c>
      <c r="I17" s="30"/>
      <c r="J17"/>
    </row>
    <row r="18" spans="1:10" s="3" customFormat="1" ht="45">
      <c r="A18" s="71" t="s">
        <v>68</v>
      </c>
      <c r="B18" s="85" t="s">
        <v>201</v>
      </c>
      <c r="C18" s="33" t="s">
        <v>114</v>
      </c>
      <c r="D18" s="85" t="s">
        <v>116</v>
      </c>
      <c r="E18" s="33"/>
      <c r="F18" s="32"/>
      <c r="G18" s="99"/>
      <c r="H18" s="169">
        <f>H19</f>
        <v>102375.3</v>
      </c>
      <c r="I18" s="61">
        <f>I19</f>
        <v>9090</v>
      </c>
      <c r="J18"/>
    </row>
    <row r="19" spans="1:9" ht="43.5">
      <c r="A19" s="111" t="s">
        <v>161</v>
      </c>
      <c r="B19" s="91" t="s">
        <v>201</v>
      </c>
      <c r="C19" s="49" t="s">
        <v>114</v>
      </c>
      <c r="D19" s="91" t="s">
        <v>116</v>
      </c>
      <c r="E19" s="49" t="s">
        <v>157</v>
      </c>
      <c r="F19" s="48"/>
      <c r="G19" s="105"/>
      <c r="H19" s="170">
        <f>H20+H28</f>
        <v>102375.3</v>
      </c>
      <c r="I19" s="50">
        <f>I20+I28</f>
        <v>9090</v>
      </c>
    </row>
    <row r="20" spans="1:9" ht="15.75">
      <c r="A20" s="112" t="s">
        <v>37</v>
      </c>
      <c r="B20" s="84" t="s">
        <v>201</v>
      </c>
      <c r="C20" s="29" t="s">
        <v>114</v>
      </c>
      <c r="D20" s="84" t="s">
        <v>116</v>
      </c>
      <c r="E20" s="49" t="s">
        <v>159</v>
      </c>
      <c r="F20" s="48"/>
      <c r="G20" s="58"/>
      <c r="H20" s="171">
        <f>H21+H22+H24+H26</f>
        <v>102192.3</v>
      </c>
      <c r="I20" s="30">
        <f>I23+I25+I27</f>
        <v>9090</v>
      </c>
    </row>
    <row r="21" spans="1:9" ht="15.75">
      <c r="A21" s="113" t="s">
        <v>94</v>
      </c>
      <c r="B21" s="84" t="s">
        <v>201</v>
      </c>
      <c r="C21" s="29" t="s">
        <v>114</v>
      </c>
      <c r="D21" s="84" t="s">
        <v>116</v>
      </c>
      <c r="E21" s="29" t="s">
        <v>159</v>
      </c>
      <c r="F21" s="28"/>
      <c r="G21" s="58" t="s">
        <v>158</v>
      </c>
      <c r="H21" s="172">
        <f>2651+4539+1900+1655+74987.7+135+1500-20047.7+155.3+35845-4539-2651-1900+17-135-620-390</f>
        <v>93102.3</v>
      </c>
      <c r="I21" s="144"/>
    </row>
    <row r="22" spans="1:9" ht="77.25" customHeight="1">
      <c r="A22" s="112" t="s">
        <v>371</v>
      </c>
      <c r="B22" s="84" t="s">
        <v>201</v>
      </c>
      <c r="C22" s="29" t="s">
        <v>114</v>
      </c>
      <c r="D22" s="84" t="s">
        <v>116</v>
      </c>
      <c r="E22" s="29" t="s">
        <v>336</v>
      </c>
      <c r="F22" s="28"/>
      <c r="G22" s="58"/>
      <c r="H22" s="172">
        <f>H23</f>
        <v>4539</v>
      </c>
      <c r="I22" s="144">
        <f>I23</f>
        <v>4539</v>
      </c>
    </row>
    <row r="23" spans="1:9" ht="15.75">
      <c r="A23" s="113" t="s">
        <v>308</v>
      </c>
      <c r="B23" s="84" t="s">
        <v>201</v>
      </c>
      <c r="C23" s="29" t="s">
        <v>114</v>
      </c>
      <c r="D23" s="84" t="s">
        <v>116</v>
      </c>
      <c r="E23" s="29" t="s">
        <v>336</v>
      </c>
      <c r="F23" s="28"/>
      <c r="G23" s="58" t="s">
        <v>309</v>
      </c>
      <c r="H23" s="172">
        <v>4539</v>
      </c>
      <c r="I23" s="66">
        <v>4539</v>
      </c>
    </row>
    <row r="24" spans="1:9" ht="43.5">
      <c r="A24" s="112" t="s">
        <v>335</v>
      </c>
      <c r="B24" s="84" t="s">
        <v>201</v>
      </c>
      <c r="C24" s="29" t="s">
        <v>114</v>
      </c>
      <c r="D24" s="84" t="s">
        <v>116</v>
      </c>
      <c r="E24" s="29" t="s">
        <v>334</v>
      </c>
      <c r="F24" s="28"/>
      <c r="G24" s="58"/>
      <c r="H24" s="172">
        <f>H25</f>
        <v>2651</v>
      </c>
      <c r="I24" s="237">
        <f>I25</f>
        <v>2651</v>
      </c>
    </row>
    <row r="25" spans="1:9" ht="15.75">
      <c r="A25" s="113" t="s">
        <v>308</v>
      </c>
      <c r="B25" s="84" t="s">
        <v>201</v>
      </c>
      <c r="C25" s="29" t="s">
        <v>114</v>
      </c>
      <c r="D25" s="84" t="s">
        <v>116</v>
      </c>
      <c r="E25" s="29" t="s">
        <v>334</v>
      </c>
      <c r="F25" s="28"/>
      <c r="G25" s="58" t="s">
        <v>309</v>
      </c>
      <c r="H25" s="172">
        <v>2651</v>
      </c>
      <c r="I25" s="144">
        <v>2651</v>
      </c>
    </row>
    <row r="26" spans="1:9" ht="72">
      <c r="A26" s="112" t="s">
        <v>372</v>
      </c>
      <c r="B26" s="84" t="s">
        <v>201</v>
      </c>
      <c r="C26" s="29" t="s">
        <v>114</v>
      </c>
      <c r="D26" s="84" t="s">
        <v>116</v>
      </c>
      <c r="E26" s="29" t="s">
        <v>333</v>
      </c>
      <c r="F26" s="28"/>
      <c r="G26" s="58"/>
      <c r="H26" s="172">
        <f>H27</f>
        <v>1900</v>
      </c>
      <c r="I26" s="66">
        <f>I27</f>
        <v>1900</v>
      </c>
    </row>
    <row r="27" spans="1:9" ht="15.75">
      <c r="A27" s="113" t="s">
        <v>308</v>
      </c>
      <c r="B27" s="84" t="s">
        <v>201</v>
      </c>
      <c r="C27" s="29" t="s">
        <v>114</v>
      </c>
      <c r="D27" s="84" t="s">
        <v>116</v>
      </c>
      <c r="E27" s="29" t="s">
        <v>333</v>
      </c>
      <c r="F27" s="28"/>
      <c r="G27" s="58" t="s">
        <v>309</v>
      </c>
      <c r="H27" s="172">
        <v>1900</v>
      </c>
      <c r="I27" s="66">
        <v>1900</v>
      </c>
    </row>
    <row r="28" spans="1:9" ht="15.75">
      <c r="A28" s="184" t="s">
        <v>237</v>
      </c>
      <c r="B28" s="84" t="s">
        <v>201</v>
      </c>
      <c r="C28" s="29" t="s">
        <v>114</v>
      </c>
      <c r="D28" s="84" t="s">
        <v>116</v>
      </c>
      <c r="E28" s="29" t="s">
        <v>238</v>
      </c>
      <c r="F28" s="28"/>
      <c r="G28" s="58"/>
      <c r="H28" s="172">
        <f>H29</f>
        <v>183</v>
      </c>
      <c r="I28" s="237"/>
    </row>
    <row r="29" spans="1:9" ht="15.75">
      <c r="A29" s="113" t="s">
        <v>94</v>
      </c>
      <c r="B29" s="84" t="s">
        <v>201</v>
      </c>
      <c r="C29" s="29" t="s">
        <v>114</v>
      </c>
      <c r="D29" s="84" t="s">
        <v>116</v>
      </c>
      <c r="E29" s="29" t="s">
        <v>238</v>
      </c>
      <c r="F29" s="28"/>
      <c r="G29" s="58" t="s">
        <v>158</v>
      </c>
      <c r="H29" s="172">
        <f>200-17</f>
        <v>183</v>
      </c>
      <c r="I29" s="66"/>
    </row>
    <row r="30" spans="1:9" ht="15.75">
      <c r="A30" s="15" t="s">
        <v>449</v>
      </c>
      <c r="B30" s="84" t="s">
        <v>201</v>
      </c>
      <c r="C30" s="29" t="s">
        <v>114</v>
      </c>
      <c r="D30" s="84" t="s">
        <v>127</v>
      </c>
      <c r="E30" s="29"/>
      <c r="F30" s="28" t="s">
        <v>36</v>
      </c>
      <c r="G30" s="58"/>
      <c r="H30" s="172">
        <f aca="true" t="shared" si="0" ref="H30:I32">H31</f>
        <v>141</v>
      </c>
      <c r="I30" s="66">
        <f t="shared" si="0"/>
        <v>141</v>
      </c>
    </row>
    <row r="31" spans="1:9" ht="15.75">
      <c r="A31" s="113" t="s">
        <v>229</v>
      </c>
      <c r="B31" s="84" t="s">
        <v>201</v>
      </c>
      <c r="C31" s="29" t="s">
        <v>114</v>
      </c>
      <c r="D31" s="84" t="s">
        <v>127</v>
      </c>
      <c r="E31" s="29" t="s">
        <v>230</v>
      </c>
      <c r="F31" s="28" t="s">
        <v>36</v>
      </c>
      <c r="G31" s="58"/>
      <c r="H31" s="172">
        <f t="shared" si="0"/>
        <v>141</v>
      </c>
      <c r="I31" s="66">
        <f t="shared" si="0"/>
        <v>141</v>
      </c>
    </row>
    <row r="32" spans="1:9" ht="48.75" customHeight="1">
      <c r="A32" s="112" t="s">
        <v>450</v>
      </c>
      <c r="B32" s="84" t="s">
        <v>201</v>
      </c>
      <c r="C32" s="29" t="s">
        <v>114</v>
      </c>
      <c r="D32" s="84" t="s">
        <v>127</v>
      </c>
      <c r="E32" s="29" t="s">
        <v>451</v>
      </c>
      <c r="F32" s="28" t="s">
        <v>36</v>
      </c>
      <c r="G32" s="58"/>
      <c r="H32" s="172">
        <f t="shared" si="0"/>
        <v>141</v>
      </c>
      <c r="I32" s="66">
        <f t="shared" si="0"/>
        <v>141</v>
      </c>
    </row>
    <row r="33" spans="1:9" ht="15.75">
      <c r="A33" s="113" t="s">
        <v>308</v>
      </c>
      <c r="B33" s="84" t="s">
        <v>201</v>
      </c>
      <c r="C33" s="29" t="s">
        <v>114</v>
      </c>
      <c r="D33" s="84" t="s">
        <v>127</v>
      </c>
      <c r="E33" s="29" t="s">
        <v>451</v>
      </c>
      <c r="F33" s="28" t="s">
        <v>158</v>
      </c>
      <c r="G33" s="58" t="s">
        <v>309</v>
      </c>
      <c r="H33" s="172">
        <v>141</v>
      </c>
      <c r="I33" s="66">
        <v>141</v>
      </c>
    </row>
    <row r="34" spans="1:10" s="3" customFormat="1" ht="15.75">
      <c r="A34" s="53" t="s">
        <v>12</v>
      </c>
      <c r="B34" s="85" t="s">
        <v>201</v>
      </c>
      <c r="C34" s="33" t="s">
        <v>114</v>
      </c>
      <c r="D34" s="85" t="s">
        <v>196</v>
      </c>
      <c r="E34" s="33"/>
      <c r="F34" s="32"/>
      <c r="G34" s="99"/>
      <c r="H34" s="169">
        <f aca="true" t="shared" si="1" ref="H34:I36">H35</f>
        <v>5000</v>
      </c>
      <c r="I34" s="34">
        <f t="shared" si="1"/>
        <v>0</v>
      </c>
      <c r="J34"/>
    </row>
    <row r="35" spans="1:9" ht="15.75">
      <c r="A35" s="103" t="s">
        <v>12</v>
      </c>
      <c r="B35" s="85" t="s">
        <v>201</v>
      </c>
      <c r="C35" s="33" t="s">
        <v>114</v>
      </c>
      <c r="D35" s="85" t="s">
        <v>196</v>
      </c>
      <c r="E35" s="33" t="s">
        <v>15</v>
      </c>
      <c r="F35" s="32"/>
      <c r="G35" s="99"/>
      <c r="H35" s="169">
        <f t="shared" si="1"/>
        <v>5000</v>
      </c>
      <c r="I35" s="34">
        <f t="shared" si="1"/>
        <v>0</v>
      </c>
    </row>
    <row r="36" spans="1:9" ht="29.25">
      <c r="A36" s="111" t="s">
        <v>97</v>
      </c>
      <c r="B36" s="84" t="s">
        <v>201</v>
      </c>
      <c r="C36" s="29" t="s">
        <v>114</v>
      </c>
      <c r="D36" s="84" t="s">
        <v>196</v>
      </c>
      <c r="E36" s="29" t="s">
        <v>98</v>
      </c>
      <c r="F36" s="28"/>
      <c r="G36" s="58"/>
      <c r="H36" s="171">
        <f t="shared" si="1"/>
        <v>5000</v>
      </c>
      <c r="I36" s="30">
        <f t="shared" si="1"/>
        <v>0</v>
      </c>
    </row>
    <row r="37" spans="1:9" ht="15.75">
      <c r="A37" s="113" t="s">
        <v>96</v>
      </c>
      <c r="B37" s="84" t="s">
        <v>201</v>
      </c>
      <c r="C37" s="29" t="s">
        <v>114</v>
      </c>
      <c r="D37" s="84" t="s">
        <v>196</v>
      </c>
      <c r="E37" s="29" t="s">
        <v>98</v>
      </c>
      <c r="F37" s="28"/>
      <c r="G37" s="58" t="s">
        <v>81</v>
      </c>
      <c r="H37" s="172">
        <v>5000</v>
      </c>
      <c r="I37" s="30"/>
    </row>
    <row r="38" spans="1:10" s="3" customFormat="1" ht="15.75">
      <c r="A38" s="15" t="s">
        <v>52</v>
      </c>
      <c r="B38" s="85" t="s">
        <v>201</v>
      </c>
      <c r="C38" s="33" t="s">
        <v>114</v>
      </c>
      <c r="D38" s="85" t="s">
        <v>195</v>
      </c>
      <c r="E38" s="33"/>
      <c r="F38" s="32"/>
      <c r="G38" s="99"/>
      <c r="H38" s="169">
        <f>H41+H39</f>
        <v>20454.4</v>
      </c>
      <c r="I38" s="34">
        <f>I41</f>
        <v>0</v>
      </c>
      <c r="J38"/>
    </row>
    <row r="39" spans="1:10" s="3" customFormat="1" ht="15.75">
      <c r="A39" s="113" t="s">
        <v>49</v>
      </c>
      <c r="B39" s="89" t="s">
        <v>201</v>
      </c>
      <c r="C39" s="38" t="s">
        <v>114</v>
      </c>
      <c r="D39" s="89" t="s">
        <v>195</v>
      </c>
      <c r="E39" s="38" t="s">
        <v>128</v>
      </c>
      <c r="F39" s="37"/>
      <c r="G39" s="58"/>
      <c r="H39" s="171">
        <f>H40</f>
        <v>1135</v>
      </c>
      <c r="I39" s="30"/>
      <c r="J39"/>
    </row>
    <row r="40" spans="1:12" s="3" customFormat="1" ht="15.75">
      <c r="A40" s="113" t="s">
        <v>94</v>
      </c>
      <c r="B40" s="89" t="s">
        <v>201</v>
      </c>
      <c r="C40" s="38" t="s">
        <v>114</v>
      </c>
      <c r="D40" s="89" t="s">
        <v>195</v>
      </c>
      <c r="E40" s="38" t="s">
        <v>128</v>
      </c>
      <c r="F40" s="37"/>
      <c r="G40" s="58" t="s">
        <v>158</v>
      </c>
      <c r="H40" s="171">
        <f>135+1000</f>
        <v>1135</v>
      </c>
      <c r="I40" s="30"/>
      <c r="J40"/>
      <c r="K40" s="333"/>
      <c r="L40" s="333"/>
    </row>
    <row r="41" spans="1:11" ht="15.75">
      <c r="A41" s="109" t="s">
        <v>83</v>
      </c>
      <c r="B41" s="89" t="s">
        <v>201</v>
      </c>
      <c r="C41" s="38" t="s">
        <v>114</v>
      </c>
      <c r="D41" s="89" t="s">
        <v>195</v>
      </c>
      <c r="E41" s="38" t="s">
        <v>84</v>
      </c>
      <c r="F41" s="37"/>
      <c r="G41" s="58"/>
      <c r="H41" s="171">
        <f>H42+H44</f>
        <v>19319.4</v>
      </c>
      <c r="I41" s="47"/>
      <c r="K41" s="108"/>
    </row>
    <row r="42" spans="1:9" ht="43.5">
      <c r="A42" s="111" t="s">
        <v>208</v>
      </c>
      <c r="B42" s="89" t="s">
        <v>201</v>
      </c>
      <c r="C42" s="29" t="s">
        <v>114</v>
      </c>
      <c r="D42" s="84" t="s">
        <v>195</v>
      </c>
      <c r="E42" s="38" t="s">
        <v>136</v>
      </c>
      <c r="F42" s="37"/>
      <c r="G42" s="58"/>
      <c r="H42" s="171">
        <f>H43</f>
        <v>12529.4</v>
      </c>
      <c r="I42" s="47"/>
    </row>
    <row r="43" spans="1:9" ht="15.75">
      <c r="A43" s="109" t="s">
        <v>94</v>
      </c>
      <c r="B43" s="89" t="s">
        <v>201</v>
      </c>
      <c r="C43" s="29" t="s">
        <v>114</v>
      </c>
      <c r="D43" s="84" t="s">
        <v>195</v>
      </c>
      <c r="E43" s="38" t="s">
        <v>136</v>
      </c>
      <c r="F43" s="37"/>
      <c r="G43" s="58" t="s">
        <v>158</v>
      </c>
      <c r="H43" s="171">
        <f>24439.2-1000+20047.8-581-35845+5468.4</f>
        <v>12529.4</v>
      </c>
      <c r="I43" s="47"/>
    </row>
    <row r="44" spans="1:9" ht="93.75" customHeight="1">
      <c r="A44" s="225" t="s">
        <v>209</v>
      </c>
      <c r="B44" s="84" t="s">
        <v>201</v>
      </c>
      <c r="C44" s="29" t="s">
        <v>114</v>
      </c>
      <c r="D44" s="84" t="s">
        <v>195</v>
      </c>
      <c r="E44" s="38" t="s">
        <v>210</v>
      </c>
      <c r="F44" s="28"/>
      <c r="G44" s="58"/>
      <c r="H44" s="174">
        <f>H45</f>
        <v>6790</v>
      </c>
      <c r="I44" s="47"/>
    </row>
    <row r="45" spans="1:9" ht="15.75">
      <c r="A45" s="113" t="s">
        <v>94</v>
      </c>
      <c r="B45" s="67" t="s">
        <v>201</v>
      </c>
      <c r="C45" s="63" t="s">
        <v>114</v>
      </c>
      <c r="D45" s="67" t="s">
        <v>195</v>
      </c>
      <c r="E45" s="38" t="s">
        <v>210</v>
      </c>
      <c r="F45" s="43"/>
      <c r="G45" s="133" t="s">
        <v>158</v>
      </c>
      <c r="H45" s="122">
        <f>7140-350</f>
        <v>6790</v>
      </c>
      <c r="I45" s="127"/>
    </row>
    <row r="46" spans="1:9" ht="15.75">
      <c r="A46" s="53" t="s">
        <v>53</v>
      </c>
      <c r="B46" s="85" t="s">
        <v>201</v>
      </c>
      <c r="C46" s="33" t="s">
        <v>115</v>
      </c>
      <c r="D46" s="85"/>
      <c r="E46" s="33"/>
      <c r="F46" s="32"/>
      <c r="G46" s="99"/>
      <c r="H46" s="165">
        <f>H51+H47</f>
        <v>4519</v>
      </c>
      <c r="I46" s="34">
        <f>I51+I47</f>
        <v>4096</v>
      </c>
    </row>
    <row r="47" spans="1:9" ht="15.75">
      <c r="A47" s="53" t="s">
        <v>373</v>
      </c>
      <c r="B47" s="84" t="s">
        <v>201</v>
      </c>
      <c r="C47" s="29" t="s">
        <v>115</v>
      </c>
      <c r="D47" s="84" t="s">
        <v>119</v>
      </c>
      <c r="E47" s="33"/>
      <c r="F47" s="32"/>
      <c r="G47" s="99"/>
      <c r="H47" s="263">
        <f aca="true" t="shared" si="2" ref="H47:I49">H48</f>
        <v>4096</v>
      </c>
      <c r="I47" s="61">
        <f t="shared" si="2"/>
        <v>4096</v>
      </c>
    </row>
    <row r="48" spans="1:9" ht="15.75">
      <c r="A48" s="111" t="s">
        <v>229</v>
      </c>
      <c r="B48" s="84" t="s">
        <v>201</v>
      </c>
      <c r="C48" s="29" t="s">
        <v>115</v>
      </c>
      <c r="D48" s="84" t="s">
        <v>119</v>
      </c>
      <c r="E48" s="29" t="s">
        <v>230</v>
      </c>
      <c r="F48" s="32"/>
      <c r="G48" s="99"/>
      <c r="H48" s="121">
        <f t="shared" si="2"/>
        <v>4096</v>
      </c>
      <c r="I48" s="50">
        <f t="shared" si="2"/>
        <v>4096</v>
      </c>
    </row>
    <row r="49" spans="1:9" ht="29.25">
      <c r="A49" s="111" t="s">
        <v>236</v>
      </c>
      <c r="B49" s="91" t="s">
        <v>201</v>
      </c>
      <c r="C49" s="49" t="s">
        <v>115</v>
      </c>
      <c r="D49" s="91" t="s">
        <v>119</v>
      </c>
      <c r="E49" s="29" t="s">
        <v>235</v>
      </c>
      <c r="F49" s="32"/>
      <c r="G49" s="99"/>
      <c r="H49" s="121">
        <f t="shared" si="2"/>
        <v>4096</v>
      </c>
      <c r="I49" s="50">
        <f t="shared" si="2"/>
        <v>4096</v>
      </c>
    </row>
    <row r="50" spans="1:9" ht="15.75">
      <c r="A50" s="113" t="s">
        <v>308</v>
      </c>
      <c r="B50" s="91" t="s">
        <v>201</v>
      </c>
      <c r="C50" s="49" t="s">
        <v>115</v>
      </c>
      <c r="D50" s="91" t="s">
        <v>119</v>
      </c>
      <c r="E50" s="29" t="s">
        <v>235</v>
      </c>
      <c r="F50" s="32"/>
      <c r="G50" s="58" t="s">
        <v>309</v>
      </c>
      <c r="H50" s="121">
        <v>4096</v>
      </c>
      <c r="I50" s="50">
        <v>4096</v>
      </c>
    </row>
    <row r="51" spans="1:9" ht="15.75">
      <c r="A51" s="15" t="s">
        <v>54</v>
      </c>
      <c r="B51" s="91" t="s">
        <v>201</v>
      </c>
      <c r="C51" s="49" t="s">
        <v>115</v>
      </c>
      <c r="D51" s="91" t="s">
        <v>116</v>
      </c>
      <c r="E51" s="29"/>
      <c r="F51" s="28"/>
      <c r="G51" s="58"/>
      <c r="H51" s="121">
        <f aca="true" t="shared" si="3" ref="H51:I53">H52</f>
        <v>423</v>
      </c>
      <c r="I51" s="61">
        <f t="shared" si="3"/>
        <v>0</v>
      </c>
    </row>
    <row r="52" spans="1:9" ht="36" customHeight="1">
      <c r="A52" s="111" t="s">
        <v>69</v>
      </c>
      <c r="B52" s="84" t="s">
        <v>201</v>
      </c>
      <c r="C52" s="29" t="s">
        <v>115</v>
      </c>
      <c r="D52" s="84" t="s">
        <v>116</v>
      </c>
      <c r="E52" s="29" t="s">
        <v>55</v>
      </c>
      <c r="F52" s="28"/>
      <c r="G52" s="58"/>
      <c r="H52" s="170">
        <f t="shared" si="3"/>
        <v>423</v>
      </c>
      <c r="I52" s="50">
        <f t="shared" si="3"/>
        <v>0</v>
      </c>
    </row>
    <row r="53" spans="1:9" ht="33" customHeight="1">
      <c r="A53" s="111" t="s">
        <v>70</v>
      </c>
      <c r="B53" s="84" t="s">
        <v>201</v>
      </c>
      <c r="C53" s="29" t="s">
        <v>115</v>
      </c>
      <c r="D53" s="84" t="s">
        <v>116</v>
      </c>
      <c r="E53" s="29" t="s">
        <v>99</v>
      </c>
      <c r="F53" s="28"/>
      <c r="G53" s="58"/>
      <c r="H53" s="171">
        <f t="shared" si="3"/>
        <v>423</v>
      </c>
      <c r="I53" s="30">
        <f t="shared" si="3"/>
        <v>0</v>
      </c>
    </row>
    <row r="54" spans="1:9" ht="15.75">
      <c r="A54" s="113" t="s">
        <v>94</v>
      </c>
      <c r="B54" s="89" t="s">
        <v>201</v>
      </c>
      <c r="C54" s="38" t="s">
        <v>115</v>
      </c>
      <c r="D54" s="89" t="s">
        <v>116</v>
      </c>
      <c r="E54" s="38" t="s">
        <v>99</v>
      </c>
      <c r="F54" s="37"/>
      <c r="G54" s="105" t="s">
        <v>158</v>
      </c>
      <c r="H54" s="174">
        <f>423</f>
        <v>423</v>
      </c>
      <c r="I54" s="119"/>
    </row>
    <row r="55" spans="1:9" ht="30">
      <c r="A55" s="71" t="s">
        <v>76</v>
      </c>
      <c r="B55" s="85" t="s">
        <v>201</v>
      </c>
      <c r="C55" s="33" t="s">
        <v>119</v>
      </c>
      <c r="D55" s="85"/>
      <c r="E55" s="33"/>
      <c r="F55" s="32"/>
      <c r="G55" s="99"/>
      <c r="H55" s="169">
        <f>H56+H60</f>
        <v>5728</v>
      </c>
      <c r="I55" s="210">
        <f>I56+I60</f>
        <v>0</v>
      </c>
    </row>
    <row r="56" spans="1:10" s="3" customFormat="1" ht="36" customHeight="1">
      <c r="A56" s="111" t="s">
        <v>101</v>
      </c>
      <c r="B56" s="91" t="s">
        <v>201</v>
      </c>
      <c r="C56" s="29" t="s">
        <v>119</v>
      </c>
      <c r="D56" s="84" t="s">
        <v>120</v>
      </c>
      <c r="E56" s="29"/>
      <c r="F56" s="28"/>
      <c r="G56" s="58"/>
      <c r="H56" s="171">
        <f aca="true" t="shared" si="4" ref="H56:I58">H57</f>
        <v>1954</v>
      </c>
      <c r="I56" s="34">
        <f t="shared" si="4"/>
        <v>0</v>
      </c>
      <c r="J56"/>
    </row>
    <row r="57" spans="1:9" ht="29.25" customHeight="1">
      <c r="A57" s="112" t="s">
        <v>88</v>
      </c>
      <c r="B57" s="91" t="s">
        <v>201</v>
      </c>
      <c r="C57" s="49" t="s">
        <v>119</v>
      </c>
      <c r="D57" s="91" t="s">
        <v>120</v>
      </c>
      <c r="E57" s="49" t="s">
        <v>89</v>
      </c>
      <c r="F57" s="48" t="s">
        <v>36</v>
      </c>
      <c r="G57" s="58"/>
      <c r="H57" s="170">
        <f t="shared" si="4"/>
        <v>1954</v>
      </c>
      <c r="I57" s="50">
        <f t="shared" si="4"/>
        <v>0</v>
      </c>
    </row>
    <row r="58" spans="1:9" ht="45.75" customHeight="1">
      <c r="A58" s="112" t="s">
        <v>90</v>
      </c>
      <c r="B58" s="91" t="s">
        <v>201</v>
      </c>
      <c r="C58" s="49" t="s">
        <v>119</v>
      </c>
      <c r="D58" s="91" t="s">
        <v>120</v>
      </c>
      <c r="E58" s="49" t="s">
        <v>102</v>
      </c>
      <c r="F58" s="48" t="s">
        <v>91</v>
      </c>
      <c r="G58" s="58"/>
      <c r="H58" s="170">
        <f t="shared" si="4"/>
        <v>1954</v>
      </c>
      <c r="I58" s="50">
        <f t="shared" si="4"/>
        <v>0</v>
      </c>
    </row>
    <row r="59" spans="1:9" ht="15" customHeight="1">
      <c r="A59" s="113" t="s">
        <v>94</v>
      </c>
      <c r="B59" s="91" t="s">
        <v>201</v>
      </c>
      <c r="C59" s="49" t="s">
        <v>119</v>
      </c>
      <c r="D59" s="91" t="s">
        <v>120</v>
      </c>
      <c r="E59" s="49" t="s">
        <v>102</v>
      </c>
      <c r="F59" s="48"/>
      <c r="G59" s="133" t="s">
        <v>158</v>
      </c>
      <c r="H59" s="170">
        <v>1954</v>
      </c>
      <c r="I59" s="68"/>
    </row>
    <row r="60" spans="1:10" s="3" customFormat="1" ht="30">
      <c r="A60" s="226" t="s">
        <v>71</v>
      </c>
      <c r="B60" s="82" t="s">
        <v>201</v>
      </c>
      <c r="C60" s="59" t="s">
        <v>119</v>
      </c>
      <c r="D60" s="82" t="s">
        <v>118</v>
      </c>
      <c r="E60" s="33"/>
      <c r="F60" s="32"/>
      <c r="G60" s="99"/>
      <c r="H60" s="173">
        <f>H62+H64</f>
        <v>3774</v>
      </c>
      <c r="I60" s="34">
        <f>I62+I64</f>
        <v>0</v>
      </c>
      <c r="J60"/>
    </row>
    <row r="61" spans="1:9" ht="15.75">
      <c r="A61" s="110" t="s">
        <v>83</v>
      </c>
      <c r="B61" s="89" t="s">
        <v>201</v>
      </c>
      <c r="C61" s="38" t="s">
        <v>119</v>
      </c>
      <c r="D61" s="89" t="s">
        <v>118</v>
      </c>
      <c r="E61" s="38" t="s">
        <v>84</v>
      </c>
      <c r="F61" s="37"/>
      <c r="G61" s="100"/>
      <c r="H61" s="174">
        <f>H62+H65</f>
        <v>3774</v>
      </c>
      <c r="I61" s="50">
        <f>I62</f>
        <v>0</v>
      </c>
    </row>
    <row r="62" spans="1:9" ht="43.5">
      <c r="A62" s="168" t="s">
        <v>252</v>
      </c>
      <c r="B62" s="84" t="s">
        <v>201</v>
      </c>
      <c r="C62" s="29" t="s">
        <v>119</v>
      </c>
      <c r="D62" s="84" t="s">
        <v>118</v>
      </c>
      <c r="E62" s="29" t="s">
        <v>150</v>
      </c>
      <c r="F62" s="28"/>
      <c r="G62" s="58"/>
      <c r="H62" s="171">
        <f>H63</f>
        <v>1762</v>
      </c>
      <c r="I62" s="47"/>
    </row>
    <row r="63" spans="1:9" ht="15.75">
      <c r="A63" s="113" t="s">
        <v>94</v>
      </c>
      <c r="B63" s="91" t="s">
        <v>201</v>
      </c>
      <c r="C63" s="49" t="s">
        <v>119</v>
      </c>
      <c r="D63" s="91" t="s">
        <v>118</v>
      </c>
      <c r="E63" s="63" t="s">
        <v>150</v>
      </c>
      <c r="F63" s="48"/>
      <c r="G63" s="133" t="s">
        <v>158</v>
      </c>
      <c r="H63" s="175">
        <f>2612-550-300</f>
        <v>1762</v>
      </c>
      <c r="I63" s="127"/>
    </row>
    <row r="64" spans="1:9" ht="43.5">
      <c r="A64" s="111" t="s">
        <v>261</v>
      </c>
      <c r="B64" s="84" t="s">
        <v>201</v>
      </c>
      <c r="C64" s="29" t="s">
        <v>119</v>
      </c>
      <c r="D64" s="84" t="s">
        <v>118</v>
      </c>
      <c r="E64" s="29" t="s">
        <v>207</v>
      </c>
      <c r="F64" s="28"/>
      <c r="G64" s="58"/>
      <c r="H64" s="171">
        <f>H65</f>
        <v>2012</v>
      </c>
      <c r="I64" s="47"/>
    </row>
    <row r="65" spans="1:9" ht="15.75">
      <c r="A65" s="113" t="s">
        <v>94</v>
      </c>
      <c r="B65" s="91" t="s">
        <v>201</v>
      </c>
      <c r="C65" s="49" t="s">
        <v>119</v>
      </c>
      <c r="D65" s="91" t="s">
        <v>118</v>
      </c>
      <c r="E65" s="63" t="s">
        <v>207</v>
      </c>
      <c r="F65" s="48"/>
      <c r="G65" s="133" t="s">
        <v>158</v>
      </c>
      <c r="H65" s="170">
        <f>500+1512</f>
        <v>2012</v>
      </c>
      <c r="I65" s="118"/>
    </row>
    <row r="66" spans="1:9" ht="15.75">
      <c r="A66" s="53" t="s">
        <v>42</v>
      </c>
      <c r="B66" s="85" t="s">
        <v>201</v>
      </c>
      <c r="C66" s="33" t="s">
        <v>116</v>
      </c>
      <c r="D66" s="85"/>
      <c r="E66" s="33"/>
      <c r="F66" s="32"/>
      <c r="G66" s="99"/>
      <c r="H66" s="169">
        <f>H67+H72+H83</f>
        <v>140278.6</v>
      </c>
      <c r="I66" s="34">
        <f>I67+I72+I83</f>
        <v>41400</v>
      </c>
    </row>
    <row r="67" spans="1:10" s="3" customFormat="1" ht="15.75">
      <c r="A67" s="15" t="s">
        <v>65</v>
      </c>
      <c r="B67" s="82" t="s">
        <v>201</v>
      </c>
      <c r="C67" s="59" t="s">
        <v>116</v>
      </c>
      <c r="D67" s="82" t="s">
        <v>123</v>
      </c>
      <c r="E67" s="33"/>
      <c r="F67" s="32"/>
      <c r="G67" s="99"/>
      <c r="H67" s="173">
        <f aca="true" t="shared" si="5" ref="H67:I70">H68</f>
        <v>15500</v>
      </c>
      <c r="I67" s="61">
        <f t="shared" si="5"/>
        <v>0</v>
      </c>
      <c r="J67"/>
    </row>
    <row r="68" spans="1:9" ht="15.75">
      <c r="A68" s="109" t="s">
        <v>104</v>
      </c>
      <c r="B68" s="84" t="s">
        <v>201</v>
      </c>
      <c r="C68" s="49" t="s">
        <v>116</v>
      </c>
      <c r="D68" s="91" t="s">
        <v>123</v>
      </c>
      <c r="E68" s="29" t="s">
        <v>105</v>
      </c>
      <c r="F68" s="28"/>
      <c r="G68" s="58"/>
      <c r="H68" s="171">
        <f t="shared" si="5"/>
        <v>15500</v>
      </c>
      <c r="I68" s="30">
        <f t="shared" si="5"/>
        <v>0</v>
      </c>
    </row>
    <row r="69" spans="1:9" ht="15.75">
      <c r="A69" s="109" t="s">
        <v>106</v>
      </c>
      <c r="B69" s="84" t="s">
        <v>201</v>
      </c>
      <c r="C69" s="49" t="s">
        <v>116</v>
      </c>
      <c r="D69" s="91" t="s">
        <v>123</v>
      </c>
      <c r="E69" s="29" t="s">
        <v>107</v>
      </c>
      <c r="F69" s="28"/>
      <c r="G69" s="58"/>
      <c r="H69" s="171">
        <f t="shared" si="5"/>
        <v>15500</v>
      </c>
      <c r="I69" s="30">
        <f t="shared" si="5"/>
        <v>0</v>
      </c>
    </row>
    <row r="70" spans="1:9" ht="49.5" customHeight="1">
      <c r="A70" s="111" t="s">
        <v>186</v>
      </c>
      <c r="B70" s="91" t="s">
        <v>201</v>
      </c>
      <c r="C70" s="49" t="s">
        <v>116</v>
      </c>
      <c r="D70" s="91" t="s">
        <v>123</v>
      </c>
      <c r="E70" s="29" t="s">
        <v>109</v>
      </c>
      <c r="F70" s="28" t="s">
        <v>36</v>
      </c>
      <c r="G70" s="100"/>
      <c r="H70" s="170">
        <f t="shared" si="5"/>
        <v>15500</v>
      </c>
      <c r="I70" s="50">
        <f t="shared" si="5"/>
        <v>0</v>
      </c>
    </row>
    <row r="71" spans="1:9" ht="15.75">
      <c r="A71" s="113" t="s">
        <v>94</v>
      </c>
      <c r="B71" s="91" t="s">
        <v>201</v>
      </c>
      <c r="C71" s="49" t="s">
        <v>116</v>
      </c>
      <c r="D71" s="91" t="s">
        <v>123</v>
      </c>
      <c r="E71" s="29" t="s">
        <v>109</v>
      </c>
      <c r="F71" s="28" t="s">
        <v>92</v>
      </c>
      <c r="G71" s="58" t="s">
        <v>158</v>
      </c>
      <c r="H71" s="170">
        <f>13279+2221</f>
        <v>15500</v>
      </c>
      <c r="I71" s="68"/>
    </row>
    <row r="72" spans="1:10" s="3" customFormat="1" ht="15.75">
      <c r="A72" s="15" t="s">
        <v>66</v>
      </c>
      <c r="B72" s="82" t="s">
        <v>201</v>
      </c>
      <c r="C72" s="59" t="s">
        <v>116</v>
      </c>
      <c r="D72" s="82" t="s">
        <v>120</v>
      </c>
      <c r="E72" s="33"/>
      <c r="F72" s="32"/>
      <c r="G72" s="99"/>
      <c r="H72" s="173">
        <f>H73+H77</f>
        <v>62145</v>
      </c>
      <c r="I72" s="34">
        <f>I73+I77</f>
        <v>40000</v>
      </c>
      <c r="J72"/>
    </row>
    <row r="73" spans="1:9" ht="15.75">
      <c r="A73" s="113" t="s">
        <v>66</v>
      </c>
      <c r="B73" s="91" t="s">
        <v>201</v>
      </c>
      <c r="C73" s="49" t="s">
        <v>116</v>
      </c>
      <c r="D73" s="91" t="s">
        <v>120</v>
      </c>
      <c r="E73" s="29" t="s">
        <v>124</v>
      </c>
      <c r="F73" s="28"/>
      <c r="G73" s="58"/>
      <c r="H73" s="170">
        <f>H74</f>
        <v>22145</v>
      </c>
      <c r="I73" s="50">
        <f>I74</f>
        <v>0</v>
      </c>
    </row>
    <row r="74" spans="1:9" ht="15.75">
      <c r="A74" s="113" t="s">
        <v>125</v>
      </c>
      <c r="B74" s="91" t="s">
        <v>201</v>
      </c>
      <c r="C74" s="49" t="s">
        <v>116</v>
      </c>
      <c r="D74" s="91" t="s">
        <v>120</v>
      </c>
      <c r="E74" s="29" t="s">
        <v>126</v>
      </c>
      <c r="F74" s="28"/>
      <c r="G74" s="58"/>
      <c r="H74" s="170">
        <f>H75</f>
        <v>22145</v>
      </c>
      <c r="I74" s="68">
        <f>I76</f>
        <v>0</v>
      </c>
    </row>
    <row r="75" spans="1:9" ht="15.75">
      <c r="A75" s="113" t="s">
        <v>167</v>
      </c>
      <c r="B75" s="91" t="s">
        <v>201</v>
      </c>
      <c r="C75" s="49" t="s">
        <v>116</v>
      </c>
      <c r="D75" s="91" t="s">
        <v>120</v>
      </c>
      <c r="E75" s="29" t="s">
        <v>168</v>
      </c>
      <c r="F75" s="28"/>
      <c r="G75" s="58"/>
      <c r="H75" s="170">
        <f>H76</f>
        <v>22145</v>
      </c>
      <c r="I75" s="30"/>
    </row>
    <row r="76" spans="1:9" ht="15.75">
      <c r="A76" s="113" t="s">
        <v>94</v>
      </c>
      <c r="B76" s="91" t="s">
        <v>201</v>
      </c>
      <c r="C76" s="49" t="s">
        <v>116</v>
      </c>
      <c r="D76" s="91" t="s">
        <v>120</v>
      </c>
      <c r="E76" s="29" t="s">
        <v>168</v>
      </c>
      <c r="F76" s="28"/>
      <c r="G76" s="58" t="s">
        <v>158</v>
      </c>
      <c r="H76" s="175">
        <f>27102+5000+43-9000-1000</f>
        <v>22145</v>
      </c>
      <c r="I76" s="68"/>
    </row>
    <row r="77" spans="1:9" ht="15.75">
      <c r="A77" s="113" t="s">
        <v>228</v>
      </c>
      <c r="B77" s="91" t="s">
        <v>201</v>
      </c>
      <c r="C77" s="49" t="s">
        <v>116</v>
      </c>
      <c r="D77" s="91" t="s">
        <v>120</v>
      </c>
      <c r="E77" s="29" t="s">
        <v>227</v>
      </c>
      <c r="F77" s="28"/>
      <c r="G77" s="58"/>
      <c r="H77" s="171">
        <f>H78</f>
        <v>40000</v>
      </c>
      <c r="I77" s="39">
        <f>I78</f>
        <v>40000</v>
      </c>
    </row>
    <row r="78" spans="1:9" ht="37.5" customHeight="1">
      <c r="A78" s="112" t="s">
        <v>381</v>
      </c>
      <c r="B78" s="91" t="s">
        <v>201</v>
      </c>
      <c r="C78" s="49" t="s">
        <v>116</v>
      </c>
      <c r="D78" s="91" t="s">
        <v>120</v>
      </c>
      <c r="E78" s="29" t="s">
        <v>380</v>
      </c>
      <c r="F78" s="28"/>
      <c r="G78" s="58"/>
      <c r="H78" s="174">
        <f>H79+H81</f>
        <v>40000</v>
      </c>
      <c r="I78" s="30">
        <f>I79+I81</f>
        <v>40000</v>
      </c>
    </row>
    <row r="79" spans="1:9" ht="35.25" customHeight="1">
      <c r="A79" s="326" t="s">
        <v>418</v>
      </c>
      <c r="B79" s="84" t="s">
        <v>201</v>
      </c>
      <c r="C79" s="29" t="s">
        <v>116</v>
      </c>
      <c r="D79" s="84" t="s">
        <v>120</v>
      </c>
      <c r="E79" s="29" t="s">
        <v>415</v>
      </c>
      <c r="F79" s="28"/>
      <c r="G79" s="58"/>
      <c r="H79" s="30">
        <f>H80</f>
        <v>20000</v>
      </c>
      <c r="I79" s="50">
        <f>I80</f>
        <v>20000</v>
      </c>
    </row>
    <row r="80" spans="1:10" ht="15.75">
      <c r="A80" s="289" t="s">
        <v>326</v>
      </c>
      <c r="B80" s="84" t="s">
        <v>201</v>
      </c>
      <c r="C80" s="29" t="s">
        <v>116</v>
      </c>
      <c r="D80" s="84" t="s">
        <v>120</v>
      </c>
      <c r="E80" s="29" t="s">
        <v>415</v>
      </c>
      <c r="F80" s="28"/>
      <c r="G80" s="58" t="s">
        <v>325</v>
      </c>
      <c r="H80" s="175">
        <v>20000</v>
      </c>
      <c r="I80" s="68">
        <v>20000</v>
      </c>
      <c r="J80" s="249"/>
    </row>
    <row r="81" spans="1:10" ht="57.75">
      <c r="A81" s="326" t="s">
        <v>417</v>
      </c>
      <c r="B81" s="84" t="s">
        <v>201</v>
      </c>
      <c r="C81" s="29" t="s">
        <v>116</v>
      </c>
      <c r="D81" s="84" t="s">
        <v>120</v>
      </c>
      <c r="E81" s="29" t="s">
        <v>416</v>
      </c>
      <c r="F81" s="28"/>
      <c r="G81" s="58"/>
      <c r="H81" s="30">
        <f>H82</f>
        <v>20000</v>
      </c>
      <c r="I81" s="30">
        <f>I82</f>
        <v>20000</v>
      </c>
      <c r="J81" s="249"/>
    </row>
    <row r="82" spans="1:10" ht="15.75">
      <c r="A82" s="289" t="s">
        <v>326</v>
      </c>
      <c r="B82" s="84" t="s">
        <v>201</v>
      </c>
      <c r="C82" s="29" t="s">
        <v>116</v>
      </c>
      <c r="D82" s="84" t="s">
        <v>120</v>
      </c>
      <c r="E82" s="29" t="s">
        <v>416</v>
      </c>
      <c r="F82" s="28"/>
      <c r="G82" s="58" t="s">
        <v>325</v>
      </c>
      <c r="H82" s="170">
        <v>20000</v>
      </c>
      <c r="I82" s="68">
        <v>20000</v>
      </c>
      <c r="J82" s="249"/>
    </row>
    <row r="83" spans="1:10" s="3" customFormat="1" ht="15.75">
      <c r="A83" s="15" t="s">
        <v>43</v>
      </c>
      <c r="B83" s="82" t="s">
        <v>201</v>
      </c>
      <c r="C83" s="59" t="s">
        <v>116</v>
      </c>
      <c r="D83" s="82" t="s">
        <v>117</v>
      </c>
      <c r="E83" s="33"/>
      <c r="F83" s="32"/>
      <c r="G83" s="99"/>
      <c r="H83" s="173">
        <f>H90+H84+H87</f>
        <v>62633.6</v>
      </c>
      <c r="I83" s="34">
        <f>I90+I84+I87</f>
        <v>1400</v>
      </c>
      <c r="J83"/>
    </row>
    <row r="84" spans="1:10" s="3" customFormat="1" ht="30.75" customHeight="1">
      <c r="A84" s="111" t="s">
        <v>69</v>
      </c>
      <c r="B84" s="91" t="s">
        <v>201</v>
      </c>
      <c r="C84" s="49" t="s">
        <v>116</v>
      </c>
      <c r="D84" s="91" t="s">
        <v>117</v>
      </c>
      <c r="E84" s="29" t="s">
        <v>87</v>
      </c>
      <c r="F84" s="32"/>
      <c r="G84" s="58"/>
      <c r="H84" s="170">
        <f>H85</f>
        <v>59858.9</v>
      </c>
      <c r="I84" s="61"/>
      <c r="J84"/>
    </row>
    <row r="85" spans="1:10" s="3" customFormat="1" ht="15.75">
      <c r="A85" s="109" t="s">
        <v>18</v>
      </c>
      <c r="B85" s="91" t="s">
        <v>201</v>
      </c>
      <c r="C85" s="49" t="s">
        <v>116</v>
      </c>
      <c r="D85" s="91" t="s">
        <v>117</v>
      </c>
      <c r="E85" s="29" t="s">
        <v>221</v>
      </c>
      <c r="F85" s="28"/>
      <c r="G85" s="58"/>
      <c r="H85" s="170">
        <f>H86</f>
        <v>59858.9</v>
      </c>
      <c r="I85" s="83"/>
      <c r="J85"/>
    </row>
    <row r="86" spans="1:15" s="3" customFormat="1" ht="15.75">
      <c r="A86" s="185" t="s">
        <v>155</v>
      </c>
      <c r="B86" s="91" t="s">
        <v>201</v>
      </c>
      <c r="C86" s="49" t="s">
        <v>116</v>
      </c>
      <c r="D86" s="91" t="s">
        <v>117</v>
      </c>
      <c r="E86" s="29" t="s">
        <v>221</v>
      </c>
      <c r="F86" s="28"/>
      <c r="G86" s="100" t="s">
        <v>156</v>
      </c>
      <c r="H86" s="171">
        <f>45360.3+300+12850+468-468+942-192+188.3+307.6+102.7</f>
        <v>59858.9</v>
      </c>
      <c r="I86" s="34"/>
      <c r="J86"/>
      <c r="K86" s="333"/>
      <c r="L86" s="333"/>
      <c r="M86" s="333"/>
      <c r="N86" s="333"/>
      <c r="O86" s="333"/>
    </row>
    <row r="87" spans="1:15" s="3" customFormat="1" ht="15.75">
      <c r="A87" s="113" t="s">
        <v>228</v>
      </c>
      <c r="B87" s="84" t="s">
        <v>201</v>
      </c>
      <c r="C87" s="29" t="s">
        <v>116</v>
      </c>
      <c r="D87" s="84" t="s">
        <v>117</v>
      </c>
      <c r="E87" s="29" t="s">
        <v>227</v>
      </c>
      <c r="F87" s="28"/>
      <c r="G87" s="58"/>
      <c r="H87" s="171">
        <f>H88</f>
        <v>1400</v>
      </c>
      <c r="I87" s="30">
        <f>I88</f>
        <v>1400</v>
      </c>
      <c r="J87"/>
      <c r="K87" s="333"/>
      <c r="L87" s="333"/>
      <c r="M87" s="333"/>
      <c r="N87" s="333"/>
      <c r="O87" s="333"/>
    </row>
    <row r="88" spans="1:15" s="3" customFormat="1" ht="53.25" customHeight="1">
      <c r="A88" s="397" t="s">
        <v>486</v>
      </c>
      <c r="B88" s="89" t="s">
        <v>201</v>
      </c>
      <c r="C88" s="38" t="s">
        <v>116</v>
      </c>
      <c r="D88" s="89" t="s">
        <v>117</v>
      </c>
      <c r="E88" s="63" t="s">
        <v>485</v>
      </c>
      <c r="F88" s="43"/>
      <c r="G88" s="105"/>
      <c r="H88" s="175">
        <f>H89</f>
        <v>1400</v>
      </c>
      <c r="I88" s="68">
        <f>I89</f>
        <v>1400</v>
      </c>
      <c r="J88"/>
      <c r="K88" s="333"/>
      <c r="L88" s="333"/>
      <c r="M88" s="333"/>
      <c r="N88" s="333"/>
      <c r="O88" s="333"/>
    </row>
    <row r="89" spans="1:15" s="3" customFormat="1" ht="43.5">
      <c r="A89" s="168" t="s">
        <v>487</v>
      </c>
      <c r="B89" s="84" t="s">
        <v>201</v>
      </c>
      <c r="C89" s="29" t="s">
        <v>116</v>
      </c>
      <c r="D89" s="84" t="s">
        <v>117</v>
      </c>
      <c r="E89" s="29" t="s">
        <v>485</v>
      </c>
      <c r="F89" s="28"/>
      <c r="G89" s="58" t="s">
        <v>424</v>
      </c>
      <c r="H89" s="171">
        <v>1400</v>
      </c>
      <c r="I89" s="30">
        <v>1400</v>
      </c>
      <c r="J89"/>
      <c r="K89" s="333"/>
      <c r="L89" s="333"/>
      <c r="M89" s="333"/>
      <c r="N89" s="333"/>
      <c r="O89" s="333"/>
    </row>
    <row r="90" spans="1:9" ht="15.75">
      <c r="A90" s="109" t="s">
        <v>83</v>
      </c>
      <c r="B90" s="89" t="s">
        <v>201</v>
      </c>
      <c r="C90" s="49" t="s">
        <v>116</v>
      </c>
      <c r="D90" s="89" t="s">
        <v>117</v>
      </c>
      <c r="E90" s="38" t="s">
        <v>84</v>
      </c>
      <c r="F90" s="37"/>
      <c r="G90" s="58"/>
      <c r="H90" s="174">
        <f>H91+H94</f>
        <v>1374.7</v>
      </c>
      <c r="I90" s="47"/>
    </row>
    <row r="91" spans="1:9" ht="43.5">
      <c r="A91" s="168" t="s">
        <v>211</v>
      </c>
      <c r="B91" s="89" t="s">
        <v>201</v>
      </c>
      <c r="C91" s="49" t="s">
        <v>116</v>
      </c>
      <c r="D91" s="89" t="s">
        <v>117</v>
      </c>
      <c r="E91" s="38" t="s">
        <v>217</v>
      </c>
      <c r="F91" s="37"/>
      <c r="G91" s="58"/>
      <c r="H91" s="174">
        <f>H92+H93</f>
        <v>995</v>
      </c>
      <c r="I91" s="127"/>
    </row>
    <row r="92" spans="1:9" ht="15.75">
      <c r="A92" s="128" t="s">
        <v>270</v>
      </c>
      <c r="B92" s="89" t="s">
        <v>201</v>
      </c>
      <c r="C92" s="49" t="s">
        <v>116</v>
      </c>
      <c r="D92" s="89" t="s">
        <v>117</v>
      </c>
      <c r="E92" s="38" t="s">
        <v>217</v>
      </c>
      <c r="F92" s="37"/>
      <c r="G92" s="133" t="s">
        <v>57</v>
      </c>
      <c r="H92" s="174">
        <v>350</v>
      </c>
      <c r="I92" s="119"/>
    </row>
    <row r="93" spans="1:9" ht="15.75">
      <c r="A93" s="115" t="s">
        <v>94</v>
      </c>
      <c r="B93" s="89" t="s">
        <v>201</v>
      </c>
      <c r="C93" s="49" t="s">
        <v>116</v>
      </c>
      <c r="D93" s="89" t="s">
        <v>117</v>
      </c>
      <c r="E93" s="38" t="s">
        <v>217</v>
      </c>
      <c r="F93" s="37"/>
      <c r="G93" s="133" t="s">
        <v>158</v>
      </c>
      <c r="H93" s="174">
        <f>100+895-350</f>
        <v>645</v>
      </c>
      <c r="I93" s="119"/>
    </row>
    <row r="94" spans="1:9" ht="44.25" customHeight="1">
      <c r="A94" s="160" t="s">
        <v>249</v>
      </c>
      <c r="B94" s="89" t="s">
        <v>201</v>
      </c>
      <c r="C94" s="49" t="s">
        <v>116</v>
      </c>
      <c r="D94" s="89" t="s">
        <v>117</v>
      </c>
      <c r="E94" s="38" t="s">
        <v>151</v>
      </c>
      <c r="F94" s="28" t="s">
        <v>36</v>
      </c>
      <c r="G94" s="58"/>
      <c r="H94" s="174">
        <f>H95</f>
        <v>379.7</v>
      </c>
      <c r="I94" s="119"/>
    </row>
    <row r="95" spans="1:9" ht="15.75">
      <c r="A95" s="289" t="s">
        <v>94</v>
      </c>
      <c r="B95" s="290" t="s">
        <v>201</v>
      </c>
      <c r="C95" s="291" t="s">
        <v>116</v>
      </c>
      <c r="D95" s="290" t="s">
        <v>117</v>
      </c>
      <c r="E95" s="292" t="s">
        <v>151</v>
      </c>
      <c r="F95" s="293" t="s">
        <v>85</v>
      </c>
      <c r="G95" s="294" t="s">
        <v>158</v>
      </c>
      <c r="H95" s="295">
        <f>300+79.7</f>
        <v>379.7</v>
      </c>
      <c r="I95" s="296"/>
    </row>
    <row r="96" spans="1:10" s="3" customFormat="1" ht="15.75">
      <c r="A96" s="53" t="s">
        <v>16</v>
      </c>
      <c r="B96" s="96" t="s">
        <v>201</v>
      </c>
      <c r="C96" s="64" t="s">
        <v>127</v>
      </c>
      <c r="D96" s="96"/>
      <c r="E96" s="64"/>
      <c r="F96" s="32"/>
      <c r="G96" s="250"/>
      <c r="H96" s="209">
        <f>H97+H119+H136</f>
        <v>514913.30000000005</v>
      </c>
      <c r="I96" s="34">
        <f>I97+I119+I136</f>
        <v>309450.7</v>
      </c>
      <c r="J96"/>
    </row>
    <row r="97" spans="1:10" s="3" customFormat="1" ht="15.75">
      <c r="A97" s="53" t="s">
        <v>45</v>
      </c>
      <c r="B97" s="85" t="s">
        <v>201</v>
      </c>
      <c r="C97" s="33" t="s">
        <v>127</v>
      </c>
      <c r="D97" s="85" t="s">
        <v>114</v>
      </c>
      <c r="E97" s="33"/>
      <c r="F97" s="32"/>
      <c r="G97" s="99"/>
      <c r="H97" s="169">
        <f>H108+H98+H105</f>
        <v>145184.6</v>
      </c>
      <c r="I97" s="61">
        <f>I108+I98</f>
        <v>77410.7</v>
      </c>
      <c r="J97"/>
    </row>
    <row r="98" spans="1:10" s="3" customFormat="1" ht="29.25">
      <c r="A98" s="251" t="s">
        <v>283</v>
      </c>
      <c r="B98" s="63" t="s">
        <v>201</v>
      </c>
      <c r="C98" s="43" t="s">
        <v>127</v>
      </c>
      <c r="D98" s="63" t="s">
        <v>114</v>
      </c>
      <c r="E98" s="217" t="s">
        <v>284</v>
      </c>
      <c r="F98" s="43" t="s">
        <v>36</v>
      </c>
      <c r="G98" s="105"/>
      <c r="H98" s="175">
        <f>H101+H104</f>
        <v>121908.6</v>
      </c>
      <c r="I98" s="50">
        <f>I101+I104</f>
        <v>77410.7</v>
      </c>
      <c r="J98"/>
    </row>
    <row r="99" spans="1:10" s="3" customFormat="1" ht="72">
      <c r="A99" s="252" t="s">
        <v>285</v>
      </c>
      <c r="B99" s="29" t="s">
        <v>201</v>
      </c>
      <c r="C99" s="28" t="s">
        <v>127</v>
      </c>
      <c r="D99" s="29" t="s">
        <v>114</v>
      </c>
      <c r="E99" s="75" t="s">
        <v>286</v>
      </c>
      <c r="F99" s="76" t="s">
        <v>36</v>
      </c>
      <c r="G99" s="58"/>
      <c r="H99" s="171">
        <f>H100</f>
        <v>60954.3</v>
      </c>
      <c r="I99" s="50">
        <f>I100</f>
        <v>55696.5</v>
      </c>
      <c r="J99"/>
    </row>
    <row r="100" spans="1:10" s="3" customFormat="1" ht="57.75">
      <c r="A100" s="252" t="s">
        <v>287</v>
      </c>
      <c r="B100" s="29" t="s">
        <v>201</v>
      </c>
      <c r="C100" s="28" t="s">
        <v>127</v>
      </c>
      <c r="D100" s="29" t="s">
        <v>114</v>
      </c>
      <c r="E100" s="75" t="s">
        <v>288</v>
      </c>
      <c r="F100" s="76" t="s">
        <v>36</v>
      </c>
      <c r="G100" s="58"/>
      <c r="H100" s="171">
        <f>H101</f>
        <v>60954.3</v>
      </c>
      <c r="I100" s="30">
        <f>I101</f>
        <v>55696.5</v>
      </c>
      <c r="J100"/>
    </row>
    <row r="101" spans="1:11" s="3" customFormat="1" ht="47.25" customHeight="1">
      <c r="A101" s="252" t="s">
        <v>438</v>
      </c>
      <c r="B101" s="29" t="s">
        <v>201</v>
      </c>
      <c r="C101" s="28" t="s">
        <v>127</v>
      </c>
      <c r="D101" s="29" t="s">
        <v>114</v>
      </c>
      <c r="E101" s="75" t="s">
        <v>288</v>
      </c>
      <c r="F101" s="76" t="s">
        <v>57</v>
      </c>
      <c r="G101" s="58" t="s">
        <v>424</v>
      </c>
      <c r="H101" s="171">
        <f>5257.8+43428.4+12268.1</f>
        <v>60954.3</v>
      </c>
      <c r="I101" s="30">
        <f>43428.4+12268.1</f>
        <v>55696.5</v>
      </c>
      <c r="J101" s="249"/>
      <c r="K101" s="322"/>
    </row>
    <row r="102" spans="1:10" s="3" customFormat="1" ht="33" customHeight="1">
      <c r="A102" s="252" t="s">
        <v>289</v>
      </c>
      <c r="B102" s="29" t="s">
        <v>201</v>
      </c>
      <c r="C102" s="28" t="s">
        <v>127</v>
      </c>
      <c r="D102" s="29" t="s">
        <v>114</v>
      </c>
      <c r="E102" s="75" t="s">
        <v>290</v>
      </c>
      <c r="F102" s="76" t="s">
        <v>36</v>
      </c>
      <c r="G102" s="58"/>
      <c r="H102" s="171">
        <f>H103</f>
        <v>60954.299999999996</v>
      </c>
      <c r="I102" s="30">
        <f>I103</f>
        <v>21714.2</v>
      </c>
      <c r="J102" s="249"/>
    </row>
    <row r="103" spans="1:10" s="3" customFormat="1" ht="35.25" customHeight="1">
      <c r="A103" s="252" t="s">
        <v>283</v>
      </c>
      <c r="B103" s="29" t="s">
        <v>201</v>
      </c>
      <c r="C103" s="28" t="s">
        <v>127</v>
      </c>
      <c r="D103" s="29" t="s">
        <v>114</v>
      </c>
      <c r="E103" s="75" t="s">
        <v>291</v>
      </c>
      <c r="F103" s="76" t="s">
        <v>36</v>
      </c>
      <c r="G103" s="58"/>
      <c r="H103" s="171">
        <f>H104</f>
        <v>60954.299999999996</v>
      </c>
      <c r="I103" s="30">
        <f>I104</f>
        <v>21714.2</v>
      </c>
      <c r="J103" s="249"/>
    </row>
    <row r="104" spans="1:10" s="3" customFormat="1" ht="52.5" customHeight="1">
      <c r="A104" s="252" t="s">
        <v>438</v>
      </c>
      <c r="B104" s="29" t="s">
        <v>201</v>
      </c>
      <c r="C104" s="28" t="s">
        <v>127</v>
      </c>
      <c r="D104" s="29" t="s">
        <v>114</v>
      </c>
      <c r="E104" s="75" t="s">
        <v>291</v>
      </c>
      <c r="F104" s="76" t="s">
        <v>57</v>
      </c>
      <c r="G104" s="58" t="s">
        <v>424</v>
      </c>
      <c r="H104" s="171">
        <f>8763+9446.5-683.5+21714.2+16160.7+5553.5-0.1</f>
        <v>60954.299999999996</v>
      </c>
      <c r="I104" s="30">
        <v>21714.2</v>
      </c>
      <c r="J104" s="249"/>
    </row>
    <row r="105" spans="1:10" s="3" customFormat="1" ht="18.75" customHeight="1">
      <c r="A105" s="259" t="s">
        <v>300</v>
      </c>
      <c r="B105" s="29" t="s">
        <v>201</v>
      </c>
      <c r="C105" s="28" t="s">
        <v>127</v>
      </c>
      <c r="D105" s="29" t="s">
        <v>114</v>
      </c>
      <c r="E105" s="28" t="s">
        <v>299</v>
      </c>
      <c r="F105" s="28" t="s">
        <v>36</v>
      </c>
      <c r="G105" s="133"/>
      <c r="H105" s="170">
        <f>H106</f>
        <v>2364.2000000000003</v>
      </c>
      <c r="I105" s="34"/>
      <c r="J105"/>
    </row>
    <row r="106" spans="1:10" s="3" customFormat="1" ht="18.75" customHeight="1">
      <c r="A106" s="259" t="s">
        <v>301</v>
      </c>
      <c r="B106" s="29" t="s">
        <v>201</v>
      </c>
      <c r="C106" s="28" t="s">
        <v>127</v>
      </c>
      <c r="D106" s="29" t="s">
        <v>114</v>
      </c>
      <c r="E106" s="28" t="s">
        <v>302</v>
      </c>
      <c r="F106" s="28" t="s">
        <v>36</v>
      </c>
      <c r="G106" s="133"/>
      <c r="H106" s="170">
        <f>H107</f>
        <v>2364.2000000000003</v>
      </c>
      <c r="I106" s="34"/>
      <c r="J106"/>
    </row>
    <row r="107" spans="1:11" s="3" customFormat="1" ht="18.75" customHeight="1">
      <c r="A107" s="259" t="s">
        <v>94</v>
      </c>
      <c r="B107" s="29" t="s">
        <v>201</v>
      </c>
      <c r="C107" s="28" t="s">
        <v>127</v>
      </c>
      <c r="D107" s="29" t="s">
        <v>114</v>
      </c>
      <c r="E107" s="28" t="s">
        <v>302</v>
      </c>
      <c r="F107" s="28" t="s">
        <v>158</v>
      </c>
      <c r="G107" s="133" t="s">
        <v>158</v>
      </c>
      <c r="H107" s="170">
        <f>683.5+1577.3+21.4+20.1+61.9</f>
        <v>2364.2000000000003</v>
      </c>
      <c r="I107" s="34"/>
      <c r="J107"/>
      <c r="K107" s="333"/>
    </row>
    <row r="108" spans="1:11" s="3" customFormat="1" ht="16.5" customHeight="1">
      <c r="A108" s="110" t="s">
        <v>83</v>
      </c>
      <c r="B108" s="29" t="s">
        <v>201</v>
      </c>
      <c r="C108" s="28" t="s">
        <v>127</v>
      </c>
      <c r="D108" s="29" t="s">
        <v>114</v>
      </c>
      <c r="E108" s="132" t="s">
        <v>84</v>
      </c>
      <c r="F108" s="28"/>
      <c r="G108" s="133"/>
      <c r="H108" s="170">
        <f>H110+H112+H114+H115+H117</f>
        <v>20911.8</v>
      </c>
      <c r="I108" s="30">
        <f>I110+I112+I114</f>
        <v>0</v>
      </c>
      <c r="J108"/>
      <c r="K108" s="333"/>
    </row>
    <row r="109" spans="1:10" s="3" customFormat="1" ht="63.75" customHeight="1">
      <c r="A109" s="111" t="s">
        <v>256</v>
      </c>
      <c r="B109" s="91" t="s">
        <v>201</v>
      </c>
      <c r="C109" s="29" t="s">
        <v>127</v>
      </c>
      <c r="D109" s="91" t="s">
        <v>114</v>
      </c>
      <c r="E109" s="38" t="s">
        <v>153</v>
      </c>
      <c r="F109" s="28"/>
      <c r="G109" s="58"/>
      <c r="H109" s="171">
        <f>H110</f>
        <v>5052</v>
      </c>
      <c r="I109" s="50"/>
      <c r="J109"/>
    </row>
    <row r="110" spans="1:10" s="3" customFormat="1" ht="15.75">
      <c r="A110" s="259" t="s">
        <v>94</v>
      </c>
      <c r="B110" s="84" t="s">
        <v>201</v>
      </c>
      <c r="C110" s="29" t="s">
        <v>127</v>
      </c>
      <c r="D110" s="84" t="s">
        <v>114</v>
      </c>
      <c r="E110" s="38" t="s">
        <v>153</v>
      </c>
      <c r="F110" s="28"/>
      <c r="G110" s="58" t="s">
        <v>158</v>
      </c>
      <c r="H110" s="171">
        <v>5052</v>
      </c>
      <c r="I110" s="30"/>
      <c r="J110"/>
    </row>
    <row r="111" spans="1:10" s="3" customFormat="1" ht="42.75">
      <c r="A111" s="227" t="s">
        <v>212</v>
      </c>
      <c r="B111" s="84" t="s">
        <v>201</v>
      </c>
      <c r="C111" s="29" t="s">
        <v>127</v>
      </c>
      <c r="D111" s="84" t="s">
        <v>114</v>
      </c>
      <c r="E111" s="38" t="s">
        <v>258</v>
      </c>
      <c r="F111" s="28"/>
      <c r="G111" s="58"/>
      <c r="H111" s="171">
        <f>H112</f>
        <v>1600</v>
      </c>
      <c r="I111" s="30"/>
      <c r="J111"/>
    </row>
    <row r="112" spans="1:10" s="3" customFormat="1" ht="15.75">
      <c r="A112" s="113" t="s">
        <v>94</v>
      </c>
      <c r="B112" s="29" t="s">
        <v>201</v>
      </c>
      <c r="C112" s="29" t="s">
        <v>127</v>
      </c>
      <c r="D112" s="84" t="s">
        <v>114</v>
      </c>
      <c r="E112" s="38" t="s">
        <v>258</v>
      </c>
      <c r="F112" s="28"/>
      <c r="G112" s="58" t="s">
        <v>158</v>
      </c>
      <c r="H112" s="171">
        <v>1600</v>
      </c>
      <c r="I112" s="30"/>
      <c r="J112"/>
    </row>
    <row r="113" spans="1:10" s="3" customFormat="1" ht="42.75">
      <c r="A113" s="208" t="s">
        <v>257</v>
      </c>
      <c r="B113" s="49" t="s">
        <v>201</v>
      </c>
      <c r="C113" s="132" t="s">
        <v>127</v>
      </c>
      <c r="D113" s="84" t="s">
        <v>114</v>
      </c>
      <c r="E113" s="38" t="s">
        <v>215</v>
      </c>
      <c r="F113" s="28"/>
      <c r="G113" s="58"/>
      <c r="H113" s="171">
        <f>H114</f>
        <v>6063.8</v>
      </c>
      <c r="I113" s="50"/>
      <c r="J113"/>
    </row>
    <row r="114" spans="1:11" s="3" customFormat="1" ht="21" customHeight="1">
      <c r="A114" s="236" t="s">
        <v>270</v>
      </c>
      <c r="B114" s="29" t="s">
        <v>201</v>
      </c>
      <c r="C114" s="132" t="s">
        <v>127</v>
      </c>
      <c r="D114" s="84" t="s">
        <v>114</v>
      </c>
      <c r="E114" s="38" t="s">
        <v>215</v>
      </c>
      <c r="F114" s="28"/>
      <c r="G114" s="58" t="s">
        <v>57</v>
      </c>
      <c r="H114" s="171">
        <f>15000-9446.5-5553.5+2350+1170+2338.8+205</f>
        <v>6063.8</v>
      </c>
      <c r="I114" s="39"/>
      <c r="J114"/>
      <c r="K114" s="333"/>
    </row>
    <row r="115" spans="1:10" s="3" customFormat="1" ht="51" customHeight="1">
      <c r="A115" s="236" t="s">
        <v>303</v>
      </c>
      <c r="B115" s="38" t="s">
        <v>201</v>
      </c>
      <c r="C115" s="132" t="s">
        <v>127</v>
      </c>
      <c r="D115" s="89" t="s">
        <v>114</v>
      </c>
      <c r="E115" s="38" t="s">
        <v>304</v>
      </c>
      <c r="F115" s="28" t="s">
        <v>36</v>
      </c>
      <c r="G115" s="58"/>
      <c r="H115" s="171">
        <f>H116</f>
        <v>8100</v>
      </c>
      <c r="I115" s="39"/>
      <c r="J115"/>
    </row>
    <row r="116" spans="1:10" s="3" customFormat="1" ht="15.75">
      <c r="A116" s="113" t="s">
        <v>94</v>
      </c>
      <c r="B116" s="38" t="s">
        <v>201</v>
      </c>
      <c r="C116" s="132" t="s">
        <v>127</v>
      </c>
      <c r="D116" s="89" t="s">
        <v>114</v>
      </c>
      <c r="E116" s="38" t="s">
        <v>304</v>
      </c>
      <c r="F116" s="28" t="s">
        <v>158</v>
      </c>
      <c r="G116" s="58" t="s">
        <v>158</v>
      </c>
      <c r="H116" s="171">
        <f>600+500+7000</f>
        <v>8100</v>
      </c>
      <c r="I116" s="39"/>
      <c r="J116"/>
    </row>
    <row r="117" spans="1:10" s="3" customFormat="1" ht="75.75" customHeight="1">
      <c r="A117" s="260" t="s">
        <v>305</v>
      </c>
      <c r="B117" s="38" t="s">
        <v>201</v>
      </c>
      <c r="C117" s="132" t="s">
        <v>127</v>
      </c>
      <c r="D117" s="89" t="s">
        <v>114</v>
      </c>
      <c r="E117" s="38" t="s">
        <v>306</v>
      </c>
      <c r="F117" s="28" t="s">
        <v>36</v>
      </c>
      <c r="G117" s="58"/>
      <c r="H117" s="174">
        <f>H118</f>
        <v>96</v>
      </c>
      <c r="I117" s="39"/>
      <c r="J117"/>
    </row>
    <row r="118" spans="1:10" s="3" customFormat="1" ht="19.5" customHeight="1">
      <c r="A118" s="236" t="s">
        <v>94</v>
      </c>
      <c r="B118" s="38" t="s">
        <v>201</v>
      </c>
      <c r="C118" s="132" t="s">
        <v>127</v>
      </c>
      <c r="D118" s="89" t="s">
        <v>114</v>
      </c>
      <c r="E118" s="38" t="s">
        <v>306</v>
      </c>
      <c r="F118" s="28" t="s">
        <v>158</v>
      </c>
      <c r="G118" s="58" t="s">
        <v>158</v>
      </c>
      <c r="H118" s="166">
        <v>96</v>
      </c>
      <c r="I118" s="39"/>
      <c r="J118"/>
    </row>
    <row r="119" spans="1:10" s="3" customFormat="1" ht="15.75">
      <c r="A119" s="15" t="s">
        <v>225</v>
      </c>
      <c r="B119" s="64" t="s">
        <v>201</v>
      </c>
      <c r="C119" s="155" t="s">
        <v>127</v>
      </c>
      <c r="D119" s="96" t="s">
        <v>115</v>
      </c>
      <c r="E119" s="33"/>
      <c r="F119" s="32"/>
      <c r="G119" s="99"/>
      <c r="H119" s="165">
        <f>H129+H123+H120</f>
        <v>297868.7</v>
      </c>
      <c r="I119" s="34">
        <f>I129+I123</f>
        <v>229200</v>
      </c>
      <c r="J119"/>
    </row>
    <row r="120" spans="1:10" s="3" customFormat="1" ht="15.75">
      <c r="A120" s="361" t="s">
        <v>466</v>
      </c>
      <c r="B120" s="38" t="s">
        <v>201</v>
      </c>
      <c r="C120" s="132" t="s">
        <v>127</v>
      </c>
      <c r="D120" s="89" t="s">
        <v>115</v>
      </c>
      <c r="E120" s="29" t="s">
        <v>467</v>
      </c>
      <c r="F120" s="32"/>
      <c r="G120" s="99"/>
      <c r="H120" s="122">
        <f>H121</f>
        <v>50118.8</v>
      </c>
      <c r="I120" s="30"/>
      <c r="J120"/>
    </row>
    <row r="121" spans="1:10" s="3" customFormat="1" ht="15.75">
      <c r="A121" s="361" t="s">
        <v>468</v>
      </c>
      <c r="B121" s="38" t="s">
        <v>201</v>
      </c>
      <c r="C121" s="132" t="s">
        <v>127</v>
      </c>
      <c r="D121" s="89" t="s">
        <v>115</v>
      </c>
      <c r="E121" s="29" t="s">
        <v>469</v>
      </c>
      <c r="F121" s="32"/>
      <c r="G121" s="99"/>
      <c r="H121" s="122">
        <f>H122</f>
        <v>50118.8</v>
      </c>
      <c r="I121" s="30"/>
      <c r="J121"/>
    </row>
    <row r="122" spans="1:12" s="3" customFormat="1" ht="15.75">
      <c r="A122" s="236" t="s">
        <v>94</v>
      </c>
      <c r="B122" s="38" t="s">
        <v>201</v>
      </c>
      <c r="C122" s="132" t="s">
        <v>127</v>
      </c>
      <c r="D122" s="89" t="s">
        <v>115</v>
      </c>
      <c r="E122" s="29" t="s">
        <v>469</v>
      </c>
      <c r="F122" s="32"/>
      <c r="G122" s="58" t="s">
        <v>158</v>
      </c>
      <c r="H122" s="122">
        <f>118.8+50000</f>
        <v>50118.8</v>
      </c>
      <c r="I122" s="30"/>
      <c r="J122"/>
      <c r="K122" s="333"/>
      <c r="L122" s="333"/>
    </row>
    <row r="123" spans="1:10" s="3" customFormat="1" ht="15.75">
      <c r="A123" s="113" t="s">
        <v>228</v>
      </c>
      <c r="B123" s="29" t="s">
        <v>201</v>
      </c>
      <c r="C123" s="37" t="s">
        <v>127</v>
      </c>
      <c r="D123" s="38" t="s">
        <v>115</v>
      </c>
      <c r="E123" s="29" t="s">
        <v>227</v>
      </c>
      <c r="F123" s="28"/>
      <c r="G123" s="58"/>
      <c r="H123" s="122">
        <f>H124</f>
        <v>229200</v>
      </c>
      <c r="I123" s="30">
        <f>I124</f>
        <v>229200</v>
      </c>
      <c r="J123"/>
    </row>
    <row r="124" spans="1:10" s="3" customFormat="1" ht="28.5" customHeight="1">
      <c r="A124" s="112" t="s">
        <v>280</v>
      </c>
      <c r="B124" s="49" t="s">
        <v>201</v>
      </c>
      <c r="C124" s="84" t="s">
        <v>127</v>
      </c>
      <c r="D124" s="29" t="s">
        <v>115</v>
      </c>
      <c r="E124" s="29" t="s">
        <v>279</v>
      </c>
      <c r="F124" s="28"/>
      <c r="G124" s="58"/>
      <c r="H124" s="122">
        <f>H125+H127</f>
        <v>229200</v>
      </c>
      <c r="I124" s="30">
        <f>I125+I127</f>
        <v>229200</v>
      </c>
      <c r="J124"/>
    </row>
    <row r="125" spans="1:10" s="3" customFormat="1" ht="29.25">
      <c r="A125" s="111" t="s">
        <v>281</v>
      </c>
      <c r="B125" s="29" t="s">
        <v>201</v>
      </c>
      <c r="C125" s="84" t="s">
        <v>127</v>
      </c>
      <c r="D125" s="29" t="s">
        <v>115</v>
      </c>
      <c r="E125" s="29" t="s">
        <v>278</v>
      </c>
      <c r="F125" s="28"/>
      <c r="G125" s="58"/>
      <c r="H125" s="122">
        <f>H126</f>
        <v>187200</v>
      </c>
      <c r="I125" s="30">
        <f>I126</f>
        <v>187200</v>
      </c>
      <c r="J125"/>
    </row>
    <row r="126" spans="1:10" s="3" customFormat="1" ht="51" customHeight="1">
      <c r="A126" s="238" t="s">
        <v>282</v>
      </c>
      <c r="B126" s="29" t="s">
        <v>201</v>
      </c>
      <c r="C126" s="84" t="s">
        <v>127</v>
      </c>
      <c r="D126" s="29" t="s">
        <v>115</v>
      </c>
      <c r="E126" s="29" t="s">
        <v>278</v>
      </c>
      <c r="F126" s="28"/>
      <c r="G126" s="58" t="s">
        <v>425</v>
      </c>
      <c r="H126" s="122">
        <v>187200</v>
      </c>
      <c r="I126" s="39">
        <v>187200</v>
      </c>
      <c r="J126" s="249"/>
    </row>
    <row r="127" spans="1:10" s="3" customFormat="1" ht="57.75">
      <c r="A127" s="128" t="s">
        <v>421</v>
      </c>
      <c r="B127" s="29" t="s">
        <v>201</v>
      </c>
      <c r="C127" s="84" t="s">
        <v>127</v>
      </c>
      <c r="D127" s="29" t="s">
        <v>115</v>
      </c>
      <c r="E127" s="29" t="s">
        <v>414</v>
      </c>
      <c r="F127" s="28"/>
      <c r="G127" s="58"/>
      <c r="H127" s="121">
        <f>H128</f>
        <v>42000</v>
      </c>
      <c r="I127" s="30">
        <f>I128</f>
        <v>42000</v>
      </c>
      <c r="J127"/>
    </row>
    <row r="128" spans="1:10" s="3" customFormat="1" ht="15.75">
      <c r="A128" s="113" t="s">
        <v>308</v>
      </c>
      <c r="B128" s="29" t="s">
        <v>201</v>
      </c>
      <c r="C128" s="84" t="s">
        <v>127</v>
      </c>
      <c r="D128" s="29" t="s">
        <v>115</v>
      </c>
      <c r="E128" s="29" t="s">
        <v>414</v>
      </c>
      <c r="F128" s="28"/>
      <c r="G128" s="58" t="s">
        <v>309</v>
      </c>
      <c r="H128" s="121">
        <v>42000</v>
      </c>
      <c r="I128" s="50">
        <v>42000</v>
      </c>
      <c r="J128" s="249"/>
    </row>
    <row r="129" spans="1:10" s="3" customFormat="1" ht="15.75">
      <c r="A129" s="110" t="s">
        <v>83</v>
      </c>
      <c r="B129" s="29" t="s">
        <v>201</v>
      </c>
      <c r="C129" s="84" t="s">
        <v>127</v>
      </c>
      <c r="D129" s="29" t="s">
        <v>115</v>
      </c>
      <c r="E129" s="29" t="s">
        <v>84</v>
      </c>
      <c r="F129" s="28"/>
      <c r="G129" s="58"/>
      <c r="H129" s="121">
        <f>H130</f>
        <v>18549.899999999998</v>
      </c>
      <c r="I129" s="50"/>
      <c r="J129"/>
    </row>
    <row r="130" spans="1:10" s="3" customFormat="1" ht="43.5">
      <c r="A130" s="228" t="s">
        <v>253</v>
      </c>
      <c r="B130" s="29" t="s">
        <v>201</v>
      </c>
      <c r="C130" s="154" t="s">
        <v>127</v>
      </c>
      <c r="D130" s="91" t="s">
        <v>115</v>
      </c>
      <c r="E130" s="38" t="s">
        <v>213</v>
      </c>
      <c r="F130" s="28"/>
      <c r="G130" s="58"/>
      <c r="H130" s="122">
        <f>H131+H132</f>
        <v>18549.899999999998</v>
      </c>
      <c r="I130" s="50"/>
      <c r="J130"/>
    </row>
    <row r="131" spans="1:10" s="3" customFormat="1" ht="15.75">
      <c r="A131" s="113" t="s">
        <v>94</v>
      </c>
      <c r="B131" s="91" t="s">
        <v>201</v>
      </c>
      <c r="C131" s="29" t="s">
        <v>127</v>
      </c>
      <c r="D131" s="84" t="s">
        <v>115</v>
      </c>
      <c r="E131" s="38" t="s">
        <v>213</v>
      </c>
      <c r="F131" s="28"/>
      <c r="G131" s="58" t="s">
        <v>158</v>
      </c>
      <c r="H131" s="122">
        <f>1947+(4000+201.7)-764.6+1520</f>
        <v>6904.099999999999</v>
      </c>
      <c r="I131" s="30"/>
      <c r="J131"/>
    </row>
    <row r="132" spans="1:10" s="3" customFormat="1" ht="15.75">
      <c r="A132" s="53" t="s">
        <v>131</v>
      </c>
      <c r="B132" s="84" t="s">
        <v>201</v>
      </c>
      <c r="C132" s="29" t="s">
        <v>127</v>
      </c>
      <c r="D132" s="84" t="s">
        <v>115</v>
      </c>
      <c r="E132" s="29" t="s">
        <v>213</v>
      </c>
      <c r="F132" s="28"/>
      <c r="G132" s="58" t="s">
        <v>44</v>
      </c>
      <c r="H132" s="122">
        <f>H133+H134+H135</f>
        <v>11645.8</v>
      </c>
      <c r="I132" s="30"/>
      <c r="J132"/>
    </row>
    <row r="133" spans="1:10" s="3" customFormat="1" ht="61.5" customHeight="1">
      <c r="A133" s="325" t="s">
        <v>273</v>
      </c>
      <c r="B133" s="84" t="s">
        <v>201</v>
      </c>
      <c r="C133" s="29" t="s">
        <v>127</v>
      </c>
      <c r="D133" s="84" t="s">
        <v>115</v>
      </c>
      <c r="E133" s="29" t="s">
        <v>213</v>
      </c>
      <c r="F133" s="28"/>
      <c r="G133" s="58" t="s">
        <v>44</v>
      </c>
      <c r="H133" s="122">
        <f>5000-4000</f>
        <v>1000</v>
      </c>
      <c r="I133" s="30"/>
      <c r="J133"/>
    </row>
    <row r="134" spans="1:11" s="3" customFormat="1" ht="61.5" customHeight="1">
      <c r="A134" s="258" t="s">
        <v>411</v>
      </c>
      <c r="B134" s="91" t="s">
        <v>201</v>
      </c>
      <c r="C134" s="49" t="s">
        <v>127</v>
      </c>
      <c r="D134" s="91" t="s">
        <v>115</v>
      </c>
      <c r="E134" s="29" t="s">
        <v>213</v>
      </c>
      <c r="F134" s="48"/>
      <c r="G134" s="133" t="s">
        <v>44</v>
      </c>
      <c r="H134" s="121">
        <f>764.6-118.8</f>
        <v>645.8000000000001</v>
      </c>
      <c r="I134" s="50"/>
      <c r="J134"/>
      <c r="K134" s="333"/>
    </row>
    <row r="135" spans="1:10" s="3" customFormat="1" ht="36.75" customHeight="1">
      <c r="A135" s="258" t="s">
        <v>443</v>
      </c>
      <c r="B135" s="91" t="s">
        <v>201</v>
      </c>
      <c r="C135" s="49" t="s">
        <v>127</v>
      </c>
      <c r="D135" s="91" t="s">
        <v>115</v>
      </c>
      <c r="E135" s="63" t="s">
        <v>213</v>
      </c>
      <c r="F135" s="48"/>
      <c r="G135" s="105" t="s">
        <v>44</v>
      </c>
      <c r="H135" s="170">
        <v>10000</v>
      </c>
      <c r="I135" s="39"/>
      <c r="J135"/>
    </row>
    <row r="136" spans="1:9" ht="18.75" customHeight="1">
      <c r="A136" s="53" t="s">
        <v>86</v>
      </c>
      <c r="B136" s="85" t="s">
        <v>201</v>
      </c>
      <c r="C136" s="33" t="s">
        <v>127</v>
      </c>
      <c r="D136" s="85" t="s">
        <v>119</v>
      </c>
      <c r="E136" s="33"/>
      <c r="F136" s="32"/>
      <c r="G136" s="99"/>
      <c r="H136" s="169">
        <f>H142+H137</f>
        <v>71860</v>
      </c>
      <c r="I136" s="34">
        <f>I142+I137</f>
        <v>2840</v>
      </c>
    </row>
    <row r="137" spans="1:9" ht="18.75" customHeight="1">
      <c r="A137" s="110" t="s">
        <v>86</v>
      </c>
      <c r="B137" s="84" t="s">
        <v>201</v>
      </c>
      <c r="C137" s="29" t="s">
        <v>127</v>
      </c>
      <c r="D137" s="84" t="s">
        <v>119</v>
      </c>
      <c r="E137" s="38" t="s">
        <v>444</v>
      </c>
      <c r="F137" s="37" t="s">
        <v>36</v>
      </c>
      <c r="G137" s="250"/>
      <c r="H137" s="175">
        <f>H139+H141</f>
        <v>2840</v>
      </c>
      <c r="I137" s="68">
        <f>I139+I141</f>
        <v>2840</v>
      </c>
    </row>
    <row r="138" spans="1:9" ht="18.75" customHeight="1">
      <c r="A138" s="110" t="s">
        <v>445</v>
      </c>
      <c r="B138" s="84" t="s">
        <v>201</v>
      </c>
      <c r="C138" s="29" t="s">
        <v>127</v>
      </c>
      <c r="D138" s="84" t="s">
        <v>119</v>
      </c>
      <c r="E138" s="38" t="s">
        <v>446</v>
      </c>
      <c r="F138" s="37" t="s">
        <v>36</v>
      </c>
      <c r="G138" s="99"/>
      <c r="H138" s="171">
        <f>H139</f>
        <v>140</v>
      </c>
      <c r="I138" s="30">
        <f>I139</f>
        <v>140</v>
      </c>
    </row>
    <row r="139" spans="1:9" ht="18.75" customHeight="1">
      <c r="A139" s="110" t="s">
        <v>94</v>
      </c>
      <c r="B139" s="84" t="s">
        <v>201</v>
      </c>
      <c r="C139" s="29" t="s">
        <v>127</v>
      </c>
      <c r="D139" s="84" t="s">
        <v>119</v>
      </c>
      <c r="E139" s="38" t="s">
        <v>446</v>
      </c>
      <c r="F139" s="37" t="s">
        <v>158</v>
      </c>
      <c r="G139" s="58" t="s">
        <v>158</v>
      </c>
      <c r="H139" s="171">
        <v>140</v>
      </c>
      <c r="I139" s="30">
        <v>140</v>
      </c>
    </row>
    <row r="140" spans="1:9" ht="33.75" customHeight="1">
      <c r="A140" s="114" t="s">
        <v>447</v>
      </c>
      <c r="B140" s="84" t="s">
        <v>201</v>
      </c>
      <c r="C140" s="29" t="s">
        <v>127</v>
      </c>
      <c r="D140" s="84" t="s">
        <v>119</v>
      </c>
      <c r="E140" s="38" t="s">
        <v>448</v>
      </c>
      <c r="F140" s="65"/>
      <c r="G140" s="99"/>
      <c r="H140" s="171">
        <f>H141</f>
        <v>2700</v>
      </c>
      <c r="I140" s="30">
        <f>I141</f>
        <v>2700</v>
      </c>
    </row>
    <row r="141" spans="1:9" ht="18.75" customHeight="1">
      <c r="A141" s="110" t="s">
        <v>94</v>
      </c>
      <c r="B141" s="84" t="s">
        <v>201</v>
      </c>
      <c r="C141" s="29" t="s">
        <v>127</v>
      </c>
      <c r="D141" s="84" t="s">
        <v>119</v>
      </c>
      <c r="E141" s="38" t="s">
        <v>448</v>
      </c>
      <c r="F141" s="65"/>
      <c r="G141" s="133" t="s">
        <v>158</v>
      </c>
      <c r="H141" s="175">
        <v>2700</v>
      </c>
      <c r="I141" s="68">
        <v>2700</v>
      </c>
    </row>
    <row r="142" spans="1:9" ht="15.75">
      <c r="A142" s="110" t="s">
        <v>83</v>
      </c>
      <c r="B142" s="84" t="s">
        <v>201</v>
      </c>
      <c r="C142" s="29" t="s">
        <v>127</v>
      </c>
      <c r="D142" s="84" t="s">
        <v>119</v>
      </c>
      <c r="E142" s="38" t="s">
        <v>84</v>
      </c>
      <c r="F142" s="37"/>
      <c r="G142" s="58"/>
      <c r="H142" s="174">
        <f>H143+H145</f>
        <v>69020</v>
      </c>
      <c r="I142" s="30">
        <f>I143</f>
        <v>0</v>
      </c>
    </row>
    <row r="143" spans="1:10" s="3" customFormat="1" ht="33" customHeight="1">
      <c r="A143" s="111" t="s">
        <v>259</v>
      </c>
      <c r="B143" s="84" t="s">
        <v>201</v>
      </c>
      <c r="C143" s="29" t="s">
        <v>127</v>
      </c>
      <c r="D143" s="84" t="s">
        <v>119</v>
      </c>
      <c r="E143" s="38" t="s">
        <v>262</v>
      </c>
      <c r="F143" s="28"/>
      <c r="G143" s="58"/>
      <c r="H143" s="171">
        <f>H144</f>
        <v>64900</v>
      </c>
      <c r="I143" s="50">
        <f>I144</f>
        <v>0</v>
      </c>
      <c r="J143"/>
    </row>
    <row r="144" spans="1:9" ht="15.75">
      <c r="A144" s="113" t="s">
        <v>94</v>
      </c>
      <c r="B144" s="84" t="s">
        <v>201</v>
      </c>
      <c r="C144" s="29" t="s">
        <v>127</v>
      </c>
      <c r="D144" s="84" t="s">
        <v>119</v>
      </c>
      <c r="E144" s="38" t="s">
        <v>262</v>
      </c>
      <c r="F144" s="28"/>
      <c r="G144" s="58" t="s">
        <v>158</v>
      </c>
      <c r="H144" s="171">
        <f>57705-10000-2900+9000+9000-120+2000-200+415</f>
        <v>64900</v>
      </c>
      <c r="I144" s="47"/>
    </row>
    <row r="145" spans="1:9" ht="50.25" customHeight="1">
      <c r="A145" s="236" t="s">
        <v>271</v>
      </c>
      <c r="B145" s="84" t="s">
        <v>201</v>
      </c>
      <c r="C145" s="29" t="s">
        <v>127</v>
      </c>
      <c r="D145" s="84" t="s">
        <v>119</v>
      </c>
      <c r="E145" s="38" t="s">
        <v>272</v>
      </c>
      <c r="F145" s="28"/>
      <c r="G145" s="58"/>
      <c r="H145" s="171">
        <f>H146</f>
        <v>4120</v>
      </c>
      <c r="I145" s="47"/>
    </row>
    <row r="146" spans="1:9" ht="15.75">
      <c r="A146" s="113" t="s">
        <v>94</v>
      </c>
      <c r="B146" s="84" t="s">
        <v>201</v>
      </c>
      <c r="C146" s="29" t="s">
        <v>127</v>
      </c>
      <c r="D146" s="84" t="s">
        <v>119</v>
      </c>
      <c r="E146" s="38" t="s">
        <v>272</v>
      </c>
      <c r="F146" s="28"/>
      <c r="G146" s="58" t="s">
        <v>158</v>
      </c>
      <c r="H146" s="171">
        <f>10000-9000+1120+2000</f>
        <v>4120</v>
      </c>
      <c r="I146" s="47"/>
    </row>
    <row r="147" spans="1:9" ht="15.75">
      <c r="A147" s="53" t="s">
        <v>31</v>
      </c>
      <c r="B147" s="85" t="s">
        <v>201</v>
      </c>
      <c r="C147" s="33" t="s">
        <v>130</v>
      </c>
      <c r="D147" s="85"/>
      <c r="E147" s="33"/>
      <c r="F147" s="32"/>
      <c r="G147" s="99"/>
      <c r="H147" s="169">
        <f aca="true" t="shared" si="6" ref="H147:I149">H148</f>
        <v>860</v>
      </c>
      <c r="I147" s="34">
        <f t="shared" si="6"/>
        <v>0</v>
      </c>
    </row>
    <row r="148" spans="1:9" ht="15.75">
      <c r="A148" s="15" t="s">
        <v>32</v>
      </c>
      <c r="B148" s="82" t="s">
        <v>201</v>
      </c>
      <c r="C148" s="59" t="s">
        <v>130</v>
      </c>
      <c r="D148" s="82" t="s">
        <v>127</v>
      </c>
      <c r="E148" s="33"/>
      <c r="F148" s="32"/>
      <c r="G148" s="99"/>
      <c r="H148" s="173">
        <f t="shared" si="6"/>
        <v>860</v>
      </c>
      <c r="I148" s="61">
        <f t="shared" si="6"/>
        <v>0</v>
      </c>
    </row>
    <row r="149" spans="1:9" ht="15.75">
      <c r="A149" s="110" t="s">
        <v>83</v>
      </c>
      <c r="B149" s="84" t="s">
        <v>201</v>
      </c>
      <c r="C149" s="29" t="s">
        <v>130</v>
      </c>
      <c r="D149" s="84" t="s">
        <v>127</v>
      </c>
      <c r="E149" s="29" t="s">
        <v>84</v>
      </c>
      <c r="F149" s="28"/>
      <c r="G149" s="58"/>
      <c r="H149" s="170">
        <f t="shared" si="6"/>
        <v>860</v>
      </c>
      <c r="I149" s="50">
        <f t="shared" si="6"/>
        <v>0</v>
      </c>
    </row>
    <row r="150" spans="1:9" ht="60.75" customHeight="1">
      <c r="A150" s="160" t="s">
        <v>307</v>
      </c>
      <c r="B150" s="89" t="s">
        <v>201</v>
      </c>
      <c r="C150" s="38" t="s">
        <v>130</v>
      </c>
      <c r="D150" s="89" t="s">
        <v>127</v>
      </c>
      <c r="E150" s="29" t="s">
        <v>263</v>
      </c>
      <c r="F150" s="37"/>
      <c r="G150" s="58"/>
      <c r="H150" s="174">
        <f>H151</f>
        <v>860</v>
      </c>
      <c r="I150" s="39">
        <f>I151</f>
        <v>0</v>
      </c>
    </row>
    <row r="151" spans="1:9" ht="15.75">
      <c r="A151" s="109" t="s">
        <v>94</v>
      </c>
      <c r="B151" s="84" t="s">
        <v>201</v>
      </c>
      <c r="C151" s="29" t="s">
        <v>130</v>
      </c>
      <c r="D151" s="84" t="s">
        <v>127</v>
      </c>
      <c r="E151" s="29" t="s">
        <v>263</v>
      </c>
      <c r="F151" s="28"/>
      <c r="G151" s="58" t="s">
        <v>158</v>
      </c>
      <c r="H151" s="174">
        <f>360+500</f>
        <v>860</v>
      </c>
      <c r="I151" s="119"/>
    </row>
    <row r="152" spans="1:9" ht="15.75">
      <c r="A152" s="53" t="s">
        <v>4</v>
      </c>
      <c r="B152" s="82" t="s">
        <v>201</v>
      </c>
      <c r="C152" s="59" t="s">
        <v>122</v>
      </c>
      <c r="D152" s="91"/>
      <c r="E152" s="49"/>
      <c r="F152" s="48"/>
      <c r="G152" s="87"/>
      <c r="H152" s="406">
        <f>H168+H164+H153</f>
        <v>102464.5</v>
      </c>
      <c r="I152" s="34">
        <f>I168+I164+I153</f>
        <v>67269</v>
      </c>
    </row>
    <row r="153" spans="1:9" ht="15.75">
      <c r="A153" s="15" t="s">
        <v>5</v>
      </c>
      <c r="B153" s="82" t="s">
        <v>201</v>
      </c>
      <c r="C153" s="59" t="s">
        <v>122</v>
      </c>
      <c r="D153" s="59" t="s">
        <v>114</v>
      </c>
      <c r="E153" s="49"/>
      <c r="F153" s="48"/>
      <c r="G153" s="88"/>
      <c r="H153" s="323">
        <f>H154+H159</f>
        <v>91934.5</v>
      </c>
      <c r="I153" s="61">
        <f aca="true" t="shared" si="7" ref="H153:I155">I154</f>
        <v>67269</v>
      </c>
    </row>
    <row r="154" spans="1:9" ht="15.75">
      <c r="A154" s="113" t="s">
        <v>228</v>
      </c>
      <c r="B154" s="91" t="s">
        <v>201</v>
      </c>
      <c r="C154" s="49" t="s">
        <v>122</v>
      </c>
      <c r="D154" s="91" t="s">
        <v>114</v>
      </c>
      <c r="E154" s="49" t="s">
        <v>227</v>
      </c>
      <c r="F154" s="48"/>
      <c r="G154" s="88"/>
      <c r="H154" s="121">
        <f t="shared" si="7"/>
        <v>67269</v>
      </c>
      <c r="I154" s="50">
        <f t="shared" si="7"/>
        <v>67269</v>
      </c>
    </row>
    <row r="155" spans="1:9" ht="43.5">
      <c r="A155" s="112" t="s">
        <v>480</v>
      </c>
      <c r="B155" s="91" t="s">
        <v>201</v>
      </c>
      <c r="C155" s="49" t="s">
        <v>122</v>
      </c>
      <c r="D155" s="91" t="s">
        <v>114</v>
      </c>
      <c r="E155" s="49" t="s">
        <v>477</v>
      </c>
      <c r="F155" s="48"/>
      <c r="G155" s="308"/>
      <c r="H155" s="121">
        <f t="shared" si="7"/>
        <v>67269</v>
      </c>
      <c r="I155" s="68">
        <f t="shared" si="7"/>
        <v>67269</v>
      </c>
    </row>
    <row r="156" spans="1:9" ht="15.75">
      <c r="A156" s="111" t="s">
        <v>293</v>
      </c>
      <c r="B156" s="91" t="s">
        <v>201</v>
      </c>
      <c r="C156" s="49" t="s">
        <v>122</v>
      </c>
      <c r="D156" s="91" t="s">
        <v>114</v>
      </c>
      <c r="E156" s="49" t="s">
        <v>292</v>
      </c>
      <c r="F156" s="48"/>
      <c r="G156" s="58"/>
      <c r="H156" s="170">
        <f>H157+H158</f>
        <v>67269</v>
      </c>
      <c r="I156" s="30">
        <f>I157+I158</f>
        <v>67269</v>
      </c>
    </row>
    <row r="157" spans="1:10" ht="44.25">
      <c r="A157" s="71" t="s">
        <v>441</v>
      </c>
      <c r="B157" s="91" t="s">
        <v>201</v>
      </c>
      <c r="C157" s="49" t="s">
        <v>122</v>
      </c>
      <c r="D157" s="91" t="s">
        <v>114</v>
      </c>
      <c r="E157" s="49" t="s">
        <v>292</v>
      </c>
      <c r="F157" s="48"/>
      <c r="G157" s="58" t="s">
        <v>425</v>
      </c>
      <c r="H157" s="170">
        <f>60750</f>
        <v>60750</v>
      </c>
      <c r="I157" s="50">
        <f>60750</f>
        <v>60750</v>
      </c>
      <c r="J157" s="333"/>
    </row>
    <row r="158" spans="1:10" ht="44.25">
      <c r="A158" s="71" t="s">
        <v>490</v>
      </c>
      <c r="B158" s="91" t="s">
        <v>201</v>
      </c>
      <c r="C158" s="49" t="s">
        <v>122</v>
      </c>
      <c r="D158" s="91" t="s">
        <v>114</v>
      </c>
      <c r="E158" s="49" t="s">
        <v>292</v>
      </c>
      <c r="F158" s="48"/>
      <c r="G158" s="58" t="s">
        <v>425</v>
      </c>
      <c r="H158" s="170">
        <v>6519</v>
      </c>
      <c r="I158" s="50">
        <v>6519</v>
      </c>
      <c r="J158" s="333"/>
    </row>
    <row r="159" spans="1:9" ht="17.25" customHeight="1">
      <c r="A159" s="109" t="s">
        <v>83</v>
      </c>
      <c r="B159" s="91" t="s">
        <v>201</v>
      </c>
      <c r="C159" s="49" t="s">
        <v>122</v>
      </c>
      <c r="D159" s="91" t="s">
        <v>114</v>
      </c>
      <c r="E159" s="38" t="s">
        <v>84</v>
      </c>
      <c r="F159" s="48"/>
      <c r="G159" s="58"/>
      <c r="H159" s="394">
        <f>H160</f>
        <v>24665.5</v>
      </c>
      <c r="I159" s="50"/>
    </row>
    <row r="160" spans="1:9" ht="29.25">
      <c r="A160" s="168" t="s">
        <v>298</v>
      </c>
      <c r="B160" s="141" t="s">
        <v>201</v>
      </c>
      <c r="C160" s="138" t="s">
        <v>122</v>
      </c>
      <c r="D160" s="141" t="s">
        <v>114</v>
      </c>
      <c r="E160" s="29" t="s">
        <v>265</v>
      </c>
      <c r="F160" s="48"/>
      <c r="G160" s="58"/>
      <c r="H160" s="394">
        <f>H161+H162+H163</f>
        <v>24665.5</v>
      </c>
      <c r="I160" s="50"/>
    </row>
    <row r="161" spans="1:9" ht="44.25">
      <c r="A161" s="71" t="s">
        <v>441</v>
      </c>
      <c r="B161" s="141" t="s">
        <v>201</v>
      </c>
      <c r="C161" s="138" t="s">
        <v>122</v>
      </c>
      <c r="D161" s="141" t="s">
        <v>114</v>
      </c>
      <c r="E161" s="29" t="s">
        <v>265</v>
      </c>
      <c r="F161" s="139"/>
      <c r="G161" s="145" t="s">
        <v>44</v>
      </c>
      <c r="H161" s="394">
        <f>6750+773.1+42+14434.9+165.5</f>
        <v>22165.5</v>
      </c>
      <c r="I161" s="50"/>
    </row>
    <row r="162" spans="1:9" ht="44.25">
      <c r="A162" s="325" t="s">
        <v>474</v>
      </c>
      <c r="B162" s="141" t="s">
        <v>201</v>
      </c>
      <c r="C162" s="138" t="s">
        <v>122</v>
      </c>
      <c r="D162" s="141" t="s">
        <v>114</v>
      </c>
      <c r="E162" s="138" t="s">
        <v>265</v>
      </c>
      <c r="F162" s="139"/>
      <c r="G162" s="145" t="s">
        <v>44</v>
      </c>
      <c r="H162" s="394">
        <f>10000-10000</f>
        <v>0</v>
      </c>
      <c r="I162" s="237"/>
    </row>
    <row r="163" spans="1:9" ht="58.5">
      <c r="A163" s="71" t="s">
        <v>465</v>
      </c>
      <c r="B163" s="141" t="s">
        <v>201</v>
      </c>
      <c r="C163" s="138" t="s">
        <v>122</v>
      </c>
      <c r="D163" s="141" t="s">
        <v>114</v>
      </c>
      <c r="E163" s="29" t="s">
        <v>265</v>
      </c>
      <c r="F163" s="242"/>
      <c r="G163" s="145" t="s">
        <v>44</v>
      </c>
      <c r="H163" s="170">
        <v>2500</v>
      </c>
      <c r="I163" s="50"/>
    </row>
    <row r="164" spans="1:9" ht="15.75">
      <c r="A164" s="109" t="s">
        <v>20</v>
      </c>
      <c r="B164" s="91" t="s">
        <v>201</v>
      </c>
      <c r="C164" s="49" t="s">
        <v>122</v>
      </c>
      <c r="D164" s="91" t="s">
        <v>122</v>
      </c>
      <c r="E164" s="49"/>
      <c r="F164" s="48"/>
      <c r="G164" s="58"/>
      <c r="H164" s="170">
        <f>H165</f>
        <v>95.5</v>
      </c>
      <c r="I164" s="118"/>
    </row>
    <row r="165" spans="1:9" ht="15.75">
      <c r="A165" s="109" t="s">
        <v>83</v>
      </c>
      <c r="B165" s="89" t="s">
        <v>201</v>
      </c>
      <c r="C165" s="91" t="s">
        <v>122</v>
      </c>
      <c r="D165" s="89" t="s">
        <v>122</v>
      </c>
      <c r="E165" s="38" t="s">
        <v>84</v>
      </c>
      <c r="F165" s="43"/>
      <c r="G165" s="133"/>
      <c r="H165" s="170">
        <f>H166</f>
        <v>95.5</v>
      </c>
      <c r="I165" s="118"/>
    </row>
    <row r="166" spans="1:9" ht="29.25">
      <c r="A166" s="223" t="s">
        <v>216</v>
      </c>
      <c r="B166" s="89" t="s">
        <v>201</v>
      </c>
      <c r="C166" s="91" t="s">
        <v>122</v>
      </c>
      <c r="D166" s="89" t="s">
        <v>122</v>
      </c>
      <c r="E166" s="29" t="s">
        <v>264</v>
      </c>
      <c r="F166" s="43"/>
      <c r="G166" s="58"/>
      <c r="H166" s="170">
        <f>H167</f>
        <v>95.5</v>
      </c>
      <c r="I166" s="118"/>
    </row>
    <row r="167" spans="1:9" ht="15.75">
      <c r="A167" s="186" t="s">
        <v>152</v>
      </c>
      <c r="B167" s="89" t="s">
        <v>201</v>
      </c>
      <c r="C167" s="67" t="s">
        <v>122</v>
      </c>
      <c r="D167" s="89" t="s">
        <v>122</v>
      </c>
      <c r="E167" s="29" t="s">
        <v>264</v>
      </c>
      <c r="F167" s="43"/>
      <c r="G167" s="58" t="s">
        <v>158</v>
      </c>
      <c r="H167" s="170">
        <v>95.5</v>
      </c>
      <c r="I167" s="118"/>
    </row>
    <row r="168" spans="1:9" ht="15.75">
      <c r="A168" s="53" t="s">
        <v>23</v>
      </c>
      <c r="B168" s="85" t="s">
        <v>201</v>
      </c>
      <c r="C168" s="33" t="s">
        <v>122</v>
      </c>
      <c r="D168" s="85" t="s">
        <v>120</v>
      </c>
      <c r="E168" s="49"/>
      <c r="F168" s="48"/>
      <c r="G168" s="133"/>
      <c r="H168" s="394">
        <f>H169</f>
        <v>10434.5</v>
      </c>
      <c r="I168" s="118"/>
    </row>
    <row r="169" spans="1:9" ht="15.75">
      <c r="A169" s="109" t="s">
        <v>83</v>
      </c>
      <c r="B169" s="89" t="s">
        <v>201</v>
      </c>
      <c r="C169" s="29" t="s">
        <v>122</v>
      </c>
      <c r="D169" s="84" t="s">
        <v>120</v>
      </c>
      <c r="E169" s="38" t="s">
        <v>84</v>
      </c>
      <c r="F169" s="37"/>
      <c r="G169" s="58"/>
      <c r="H169" s="394">
        <f>H170</f>
        <v>10434.5</v>
      </c>
      <c r="I169" s="118"/>
    </row>
    <row r="170" spans="1:9" ht="29.25">
      <c r="A170" s="168" t="s">
        <v>298</v>
      </c>
      <c r="B170" s="141" t="s">
        <v>201</v>
      </c>
      <c r="C170" s="138" t="s">
        <v>122</v>
      </c>
      <c r="D170" s="141" t="s">
        <v>120</v>
      </c>
      <c r="E170" s="29" t="s">
        <v>265</v>
      </c>
      <c r="F170" s="139"/>
      <c r="G170" s="145"/>
      <c r="H170" s="172">
        <f>H171</f>
        <v>10434.5</v>
      </c>
      <c r="I170" s="47"/>
    </row>
    <row r="171" spans="1:9" ht="15.75">
      <c r="A171" s="109" t="s">
        <v>94</v>
      </c>
      <c r="B171" s="141" t="s">
        <v>201</v>
      </c>
      <c r="C171" s="138" t="s">
        <v>122</v>
      </c>
      <c r="D171" s="141" t="s">
        <v>120</v>
      </c>
      <c r="E171" s="29" t="s">
        <v>265</v>
      </c>
      <c r="F171" s="139"/>
      <c r="G171" s="145" t="s">
        <v>158</v>
      </c>
      <c r="H171" s="394">
        <f>600+10000-165.5</f>
        <v>10434.5</v>
      </c>
      <c r="I171" s="118"/>
    </row>
    <row r="172" spans="1:9" ht="15.75">
      <c r="A172" s="53" t="s">
        <v>224</v>
      </c>
      <c r="B172" s="243" t="s">
        <v>201</v>
      </c>
      <c r="C172" s="244" t="s">
        <v>123</v>
      </c>
      <c r="D172" s="243"/>
      <c r="E172" s="59"/>
      <c r="F172" s="245"/>
      <c r="G172" s="246"/>
      <c r="H172" s="173">
        <f>H173</f>
        <v>559.7</v>
      </c>
      <c r="I172" s="247"/>
    </row>
    <row r="173" spans="1:9" ht="15.75">
      <c r="A173" s="109" t="s">
        <v>226</v>
      </c>
      <c r="B173" s="84" t="s">
        <v>201</v>
      </c>
      <c r="C173" s="84" t="s">
        <v>123</v>
      </c>
      <c r="D173" s="84" t="s">
        <v>116</v>
      </c>
      <c r="E173" s="49"/>
      <c r="F173" s="242"/>
      <c r="G173" s="248"/>
      <c r="H173" s="170">
        <f>H174</f>
        <v>559.7</v>
      </c>
      <c r="I173" s="118"/>
    </row>
    <row r="174" spans="1:9" ht="29.25">
      <c r="A174" s="111" t="s">
        <v>214</v>
      </c>
      <c r="B174" s="84" t="s">
        <v>201</v>
      </c>
      <c r="C174" s="89" t="s">
        <v>123</v>
      </c>
      <c r="D174" s="89" t="s">
        <v>116</v>
      </c>
      <c r="E174" s="29" t="s">
        <v>266</v>
      </c>
      <c r="F174" s="37"/>
      <c r="G174" s="58"/>
      <c r="H174" s="170">
        <f>H175</f>
        <v>559.7</v>
      </c>
      <c r="I174" s="118"/>
    </row>
    <row r="175" spans="1:9" ht="15.75">
      <c r="A175" s="186" t="s">
        <v>152</v>
      </c>
      <c r="B175" s="84" t="s">
        <v>201</v>
      </c>
      <c r="C175" s="84" t="s">
        <v>123</v>
      </c>
      <c r="D175" s="84" t="s">
        <v>116</v>
      </c>
      <c r="E175" s="29" t="s">
        <v>266</v>
      </c>
      <c r="F175" s="28"/>
      <c r="G175" s="133" t="s">
        <v>158</v>
      </c>
      <c r="H175" s="175">
        <f>47.7+212+300</f>
        <v>559.7</v>
      </c>
      <c r="I175" s="127"/>
    </row>
    <row r="176" spans="1:9" ht="15.75">
      <c r="A176" s="15" t="s">
        <v>198</v>
      </c>
      <c r="B176" s="82" t="s">
        <v>201</v>
      </c>
      <c r="C176" s="59" t="s">
        <v>120</v>
      </c>
      <c r="D176" s="82"/>
      <c r="E176" s="59"/>
      <c r="F176" s="36"/>
      <c r="G176" s="181"/>
      <c r="H176" s="165">
        <f>H177+H196+H207+H213+H224</f>
        <v>815376.0000000001</v>
      </c>
      <c r="I176" s="34">
        <f>I177+I196+I207+I213+I224</f>
        <v>807907.4</v>
      </c>
    </row>
    <row r="177" spans="1:9" ht="15.75">
      <c r="A177" s="15" t="s">
        <v>141</v>
      </c>
      <c r="B177" s="82" t="s">
        <v>201</v>
      </c>
      <c r="C177" s="59" t="s">
        <v>120</v>
      </c>
      <c r="D177" s="82" t="s">
        <v>114</v>
      </c>
      <c r="E177" s="59"/>
      <c r="F177" s="36"/>
      <c r="G177" s="181"/>
      <c r="H177" s="263">
        <f>H178+H189</f>
        <v>107847.80000000003</v>
      </c>
      <c r="I177" s="61">
        <f>I178+I189</f>
        <v>101682.30000000003</v>
      </c>
    </row>
    <row r="178" spans="1:9" ht="15.75">
      <c r="A178" s="109" t="s">
        <v>191</v>
      </c>
      <c r="B178" s="91" t="s">
        <v>201</v>
      </c>
      <c r="C178" s="49" t="s">
        <v>120</v>
      </c>
      <c r="D178" s="84" t="s">
        <v>114</v>
      </c>
      <c r="E178" s="29" t="s">
        <v>30</v>
      </c>
      <c r="F178" s="28"/>
      <c r="G178" s="58"/>
      <c r="H178" s="122">
        <f>H179+H183+H187+H181+H185+H188</f>
        <v>105018.70000000003</v>
      </c>
      <c r="I178" s="30">
        <f>I179+I183+I187+I181+I185+I188</f>
        <v>98853.20000000003</v>
      </c>
    </row>
    <row r="179" spans="1:9" ht="49.5" customHeight="1">
      <c r="A179" s="114" t="s">
        <v>337</v>
      </c>
      <c r="B179" s="91" t="s">
        <v>201</v>
      </c>
      <c r="C179" s="49" t="s">
        <v>120</v>
      </c>
      <c r="D179" s="84" t="s">
        <v>114</v>
      </c>
      <c r="E179" s="29" t="s">
        <v>338</v>
      </c>
      <c r="F179" s="28"/>
      <c r="G179" s="58"/>
      <c r="H179" s="122">
        <f>H180</f>
        <v>84852.90000000002</v>
      </c>
      <c r="I179" s="50">
        <f>I180</f>
        <v>84852.90000000002</v>
      </c>
    </row>
    <row r="180" spans="1:9" ht="15.75">
      <c r="A180" s="269" t="s">
        <v>322</v>
      </c>
      <c r="B180" s="91" t="s">
        <v>201</v>
      </c>
      <c r="C180" s="49" t="s">
        <v>120</v>
      </c>
      <c r="D180" s="84" t="s">
        <v>114</v>
      </c>
      <c r="E180" s="29" t="s">
        <v>338</v>
      </c>
      <c r="F180" s="28"/>
      <c r="G180" s="133" t="s">
        <v>319</v>
      </c>
      <c r="H180" s="122">
        <f>102852.9+150000+952+2355+13727.8-2355-13727.8-952-168000</f>
        <v>84852.90000000002</v>
      </c>
      <c r="I180" s="50">
        <f>102852.9+150000+952+2355+13727.8-2355-13727.8-952-168000</f>
        <v>84852.90000000002</v>
      </c>
    </row>
    <row r="181" spans="1:9" ht="63.75" customHeight="1">
      <c r="A181" s="201" t="s">
        <v>355</v>
      </c>
      <c r="B181" s="91" t="s">
        <v>201</v>
      </c>
      <c r="C181" s="49" t="s">
        <v>120</v>
      </c>
      <c r="D181" s="84" t="s">
        <v>114</v>
      </c>
      <c r="E181" s="29" t="s">
        <v>354</v>
      </c>
      <c r="F181" s="28"/>
      <c r="G181" s="133"/>
      <c r="H181" s="122">
        <f>H182</f>
        <v>1019.5</v>
      </c>
      <c r="I181" s="50">
        <f>I182</f>
        <v>952</v>
      </c>
    </row>
    <row r="182" spans="1:9" ht="15.75">
      <c r="A182" s="269" t="s">
        <v>322</v>
      </c>
      <c r="B182" s="91" t="s">
        <v>201</v>
      </c>
      <c r="C182" s="49" t="s">
        <v>120</v>
      </c>
      <c r="D182" s="84" t="s">
        <v>114</v>
      </c>
      <c r="E182" s="29" t="s">
        <v>354</v>
      </c>
      <c r="F182" s="28"/>
      <c r="G182" s="133" t="s">
        <v>319</v>
      </c>
      <c r="H182" s="122">
        <f>952+67.5</f>
        <v>1019.5</v>
      </c>
      <c r="I182" s="68">
        <v>952</v>
      </c>
    </row>
    <row r="183" spans="1:9" ht="52.5" customHeight="1">
      <c r="A183" s="114" t="s">
        <v>346</v>
      </c>
      <c r="B183" s="91" t="s">
        <v>201</v>
      </c>
      <c r="C183" s="49" t="s">
        <v>120</v>
      </c>
      <c r="D183" s="84" t="s">
        <v>114</v>
      </c>
      <c r="E183" s="29" t="s">
        <v>343</v>
      </c>
      <c r="F183" s="28"/>
      <c r="G183" s="58"/>
      <c r="H183" s="122">
        <f>H184</f>
        <v>11548.3</v>
      </c>
      <c r="I183" s="30">
        <f>I184</f>
        <v>11548.3</v>
      </c>
    </row>
    <row r="184" spans="1:9" ht="15.75">
      <c r="A184" s="269" t="s">
        <v>322</v>
      </c>
      <c r="B184" s="91" t="s">
        <v>201</v>
      </c>
      <c r="C184" s="49" t="s">
        <v>120</v>
      </c>
      <c r="D184" s="84" t="s">
        <v>114</v>
      </c>
      <c r="E184" s="29" t="s">
        <v>343</v>
      </c>
      <c r="F184" s="28"/>
      <c r="G184" s="133" t="s">
        <v>319</v>
      </c>
      <c r="H184" s="122">
        <f>13727.8-2179.5</f>
        <v>11548.3</v>
      </c>
      <c r="I184" s="30">
        <f>13727.8-2179.5</f>
        <v>11548.3</v>
      </c>
    </row>
    <row r="185" spans="1:9" ht="43.5">
      <c r="A185" s="114" t="s">
        <v>357</v>
      </c>
      <c r="B185" s="91" t="s">
        <v>201</v>
      </c>
      <c r="C185" s="49" t="s">
        <v>120</v>
      </c>
      <c r="D185" s="84" t="s">
        <v>114</v>
      </c>
      <c r="E185" s="29" t="s">
        <v>356</v>
      </c>
      <c r="F185" s="28"/>
      <c r="G185" s="133"/>
      <c r="H185" s="122">
        <f>H186</f>
        <v>1500</v>
      </c>
      <c r="I185" s="30">
        <f>I186</f>
        <v>1500</v>
      </c>
    </row>
    <row r="186" spans="1:9" ht="15.75">
      <c r="A186" s="269" t="s">
        <v>322</v>
      </c>
      <c r="B186" s="91" t="s">
        <v>201</v>
      </c>
      <c r="C186" s="49" t="s">
        <v>120</v>
      </c>
      <c r="D186" s="84" t="s">
        <v>114</v>
      </c>
      <c r="E186" s="29" t="s">
        <v>356</v>
      </c>
      <c r="F186" s="28"/>
      <c r="G186" s="133" t="s">
        <v>319</v>
      </c>
      <c r="H186" s="122">
        <f>170355-2355+65480-231980+226480-226480</f>
        <v>1500</v>
      </c>
      <c r="I186" s="30">
        <f>170355-2355+65480-231980+226480-226480</f>
        <v>1500</v>
      </c>
    </row>
    <row r="187" spans="1:9" ht="15.75">
      <c r="A187" s="185" t="s">
        <v>155</v>
      </c>
      <c r="B187" s="91" t="s">
        <v>201</v>
      </c>
      <c r="C187" s="49" t="s">
        <v>120</v>
      </c>
      <c r="D187" s="84" t="s">
        <v>114</v>
      </c>
      <c r="E187" s="29" t="s">
        <v>366</v>
      </c>
      <c r="F187" s="28"/>
      <c r="G187" s="133" t="s">
        <v>156</v>
      </c>
      <c r="H187" s="122">
        <f>2355+1754.8+1344+915-915</f>
        <v>5453.8</v>
      </c>
      <c r="I187" s="30"/>
    </row>
    <row r="188" spans="1:9" ht="15.75">
      <c r="A188" s="185" t="s">
        <v>155</v>
      </c>
      <c r="B188" s="91" t="s">
        <v>201</v>
      </c>
      <c r="C188" s="49" t="s">
        <v>120</v>
      </c>
      <c r="D188" s="84" t="s">
        <v>114</v>
      </c>
      <c r="E188" s="29" t="s">
        <v>366</v>
      </c>
      <c r="F188" s="28"/>
      <c r="G188" s="133" t="s">
        <v>156</v>
      </c>
      <c r="H188" s="122">
        <v>644.2</v>
      </c>
      <c r="I188" s="68"/>
    </row>
    <row r="189" spans="1:9" ht="15.75">
      <c r="A189" s="103" t="s">
        <v>170</v>
      </c>
      <c r="B189" s="82" t="s">
        <v>201</v>
      </c>
      <c r="C189" s="59" t="s">
        <v>120</v>
      </c>
      <c r="D189" s="85" t="s">
        <v>114</v>
      </c>
      <c r="E189" s="33" t="s">
        <v>171</v>
      </c>
      <c r="F189" s="32"/>
      <c r="G189" s="99"/>
      <c r="H189" s="165">
        <f>H191+H193+H194</f>
        <v>2829.1</v>
      </c>
      <c r="I189" s="34">
        <f>I191+I193+I194</f>
        <v>2829.1</v>
      </c>
    </row>
    <row r="190" spans="1:9" ht="29.25">
      <c r="A190" s="114" t="s">
        <v>339</v>
      </c>
      <c r="B190" s="91" t="s">
        <v>201</v>
      </c>
      <c r="C190" s="49" t="s">
        <v>120</v>
      </c>
      <c r="D190" s="84" t="s">
        <v>114</v>
      </c>
      <c r="E190" s="29" t="s">
        <v>340</v>
      </c>
      <c r="F190" s="28"/>
      <c r="G190" s="58"/>
      <c r="H190" s="122">
        <f>H191</f>
        <v>2589.1</v>
      </c>
      <c r="I190" s="68">
        <f>I191</f>
        <v>2589.1</v>
      </c>
    </row>
    <row r="191" spans="1:9" ht="15.75">
      <c r="A191" s="269" t="s">
        <v>322</v>
      </c>
      <c r="B191" s="91" t="s">
        <v>201</v>
      </c>
      <c r="C191" s="49" t="s">
        <v>120</v>
      </c>
      <c r="D191" s="84" t="s">
        <v>114</v>
      </c>
      <c r="E191" s="29" t="s">
        <v>340</v>
      </c>
      <c r="F191" s="28"/>
      <c r="G191" s="133" t="s">
        <v>319</v>
      </c>
      <c r="H191" s="122">
        <f>2619.1-30</f>
        <v>2589.1</v>
      </c>
      <c r="I191" s="30">
        <f>2619.1-30</f>
        <v>2589.1</v>
      </c>
    </row>
    <row r="192" spans="1:9" ht="43.5">
      <c r="A192" s="114" t="s">
        <v>347</v>
      </c>
      <c r="B192" s="91" t="s">
        <v>201</v>
      </c>
      <c r="C192" s="49" t="s">
        <v>120</v>
      </c>
      <c r="D192" s="84" t="s">
        <v>114</v>
      </c>
      <c r="E192" s="29" t="s">
        <v>345</v>
      </c>
      <c r="F192" s="28"/>
      <c r="G192" s="58"/>
      <c r="H192" s="122">
        <f>H193</f>
        <v>210</v>
      </c>
      <c r="I192" s="30">
        <f>I193</f>
        <v>210</v>
      </c>
    </row>
    <row r="193" spans="1:9" ht="15.75">
      <c r="A193" s="269" t="s">
        <v>322</v>
      </c>
      <c r="B193" s="91" t="s">
        <v>201</v>
      </c>
      <c r="C193" s="49" t="s">
        <v>120</v>
      </c>
      <c r="D193" s="84" t="s">
        <v>114</v>
      </c>
      <c r="E193" s="29" t="s">
        <v>345</v>
      </c>
      <c r="F193" s="28"/>
      <c r="G193" s="133" t="s">
        <v>319</v>
      </c>
      <c r="H193" s="122">
        <f>30.5+179.5</f>
        <v>210</v>
      </c>
      <c r="I193" s="30">
        <f>30.5+179.5</f>
        <v>210</v>
      </c>
    </row>
    <row r="194" spans="1:9" ht="29.25">
      <c r="A194" s="114" t="s">
        <v>359</v>
      </c>
      <c r="B194" s="91" t="s">
        <v>201</v>
      </c>
      <c r="C194" s="49" t="s">
        <v>120</v>
      </c>
      <c r="D194" s="84" t="s">
        <v>114</v>
      </c>
      <c r="E194" s="29" t="s">
        <v>358</v>
      </c>
      <c r="F194" s="28"/>
      <c r="G194" s="133"/>
      <c r="H194" s="122">
        <f>H195</f>
        <v>30</v>
      </c>
      <c r="I194" s="30">
        <f>I195</f>
        <v>30</v>
      </c>
    </row>
    <row r="195" spans="1:9" ht="15.75">
      <c r="A195" s="269" t="s">
        <v>322</v>
      </c>
      <c r="B195" s="91" t="s">
        <v>201</v>
      </c>
      <c r="C195" s="49" t="s">
        <v>120</v>
      </c>
      <c r="D195" s="84" t="s">
        <v>114</v>
      </c>
      <c r="E195" s="29" t="s">
        <v>358</v>
      </c>
      <c r="F195" s="28"/>
      <c r="G195" s="133" t="s">
        <v>319</v>
      </c>
      <c r="H195" s="122">
        <v>30</v>
      </c>
      <c r="I195" s="30">
        <v>30</v>
      </c>
    </row>
    <row r="196" spans="1:9" ht="15.75">
      <c r="A196" s="103" t="s">
        <v>172</v>
      </c>
      <c r="B196" s="82" t="s">
        <v>201</v>
      </c>
      <c r="C196" s="59" t="s">
        <v>120</v>
      </c>
      <c r="D196" s="85" t="s">
        <v>115</v>
      </c>
      <c r="E196" s="33"/>
      <c r="F196" s="32"/>
      <c r="G196" s="99"/>
      <c r="H196" s="165">
        <f>H197</f>
        <v>151843.2</v>
      </c>
      <c r="I196" s="83">
        <f>I197</f>
        <v>150628.6</v>
      </c>
    </row>
    <row r="197" spans="1:9" ht="15.75">
      <c r="A197" s="110" t="s">
        <v>173</v>
      </c>
      <c r="B197" s="91" t="s">
        <v>201</v>
      </c>
      <c r="C197" s="49" t="s">
        <v>120</v>
      </c>
      <c r="D197" s="84" t="s">
        <v>115</v>
      </c>
      <c r="E197" s="29" t="s">
        <v>174</v>
      </c>
      <c r="F197" s="28"/>
      <c r="G197" s="58"/>
      <c r="H197" s="122">
        <f>H200+H201+H205+H198+H204</f>
        <v>151843.2</v>
      </c>
      <c r="I197" s="39">
        <f>I200+I201+I205+I198+I204</f>
        <v>150628.6</v>
      </c>
    </row>
    <row r="198" spans="1:9" ht="45.75" customHeight="1">
      <c r="A198" s="114" t="s">
        <v>361</v>
      </c>
      <c r="B198" s="91" t="s">
        <v>201</v>
      </c>
      <c r="C198" s="49" t="s">
        <v>120</v>
      </c>
      <c r="D198" s="84" t="s">
        <v>115</v>
      </c>
      <c r="E198" s="29" t="s">
        <v>360</v>
      </c>
      <c r="F198" s="28"/>
      <c r="G198" s="58"/>
      <c r="H198" s="122">
        <f>H199</f>
        <v>10111.6</v>
      </c>
      <c r="I198" s="30">
        <f>I199</f>
        <v>10062</v>
      </c>
    </row>
    <row r="199" spans="1:9" ht="15.75">
      <c r="A199" s="269" t="s">
        <v>322</v>
      </c>
      <c r="B199" s="91" t="s">
        <v>201</v>
      </c>
      <c r="C199" s="49" t="s">
        <v>120</v>
      </c>
      <c r="D199" s="84" t="s">
        <v>115</v>
      </c>
      <c r="E199" s="29" t="s">
        <v>360</v>
      </c>
      <c r="F199" s="28"/>
      <c r="G199" s="58" t="s">
        <v>319</v>
      </c>
      <c r="H199" s="122">
        <f>10062+49.6</f>
        <v>10111.6</v>
      </c>
      <c r="I199" s="30">
        <v>10062</v>
      </c>
    </row>
    <row r="200" spans="1:9" ht="43.5">
      <c r="A200" s="114" t="s">
        <v>349</v>
      </c>
      <c r="B200" s="91" t="s">
        <v>201</v>
      </c>
      <c r="C200" s="49" t="s">
        <v>120</v>
      </c>
      <c r="D200" s="84" t="s">
        <v>115</v>
      </c>
      <c r="E200" s="29" t="s">
        <v>341</v>
      </c>
      <c r="F200" s="28"/>
      <c r="G200" s="58" t="s">
        <v>319</v>
      </c>
      <c r="H200" s="122">
        <f>148728.6-3861.3-10062-3016+250</f>
        <v>132039.30000000002</v>
      </c>
      <c r="I200" s="39">
        <f>148728.6-3861.3-10062-3016+250</f>
        <v>132039.30000000002</v>
      </c>
    </row>
    <row r="201" spans="1:9" ht="57.75">
      <c r="A201" s="114" t="s">
        <v>342</v>
      </c>
      <c r="B201" s="91" t="s">
        <v>201</v>
      </c>
      <c r="C201" s="49" t="s">
        <v>120</v>
      </c>
      <c r="D201" s="84" t="s">
        <v>115</v>
      </c>
      <c r="E201" s="29" t="s">
        <v>348</v>
      </c>
      <c r="F201" s="28"/>
      <c r="G201" s="58"/>
      <c r="H201" s="122">
        <f>H202</f>
        <v>5861.3</v>
      </c>
      <c r="I201" s="30">
        <f>I202</f>
        <v>5861.3</v>
      </c>
    </row>
    <row r="202" spans="1:9" ht="15.75">
      <c r="A202" s="269" t="s">
        <v>322</v>
      </c>
      <c r="B202" s="91" t="s">
        <v>201</v>
      </c>
      <c r="C202" s="49" t="s">
        <v>120</v>
      </c>
      <c r="D202" s="84" t="s">
        <v>115</v>
      </c>
      <c r="E202" s="29" t="s">
        <v>348</v>
      </c>
      <c r="F202" s="28"/>
      <c r="G202" s="58" t="s">
        <v>319</v>
      </c>
      <c r="H202" s="122">
        <f>3861.3+2000</f>
        <v>5861.3</v>
      </c>
      <c r="I202" s="30">
        <f>3861.3+2000</f>
        <v>5861.3</v>
      </c>
    </row>
    <row r="203" spans="1:9" ht="36" customHeight="1">
      <c r="A203" s="114" t="s">
        <v>363</v>
      </c>
      <c r="B203" s="91" t="s">
        <v>201</v>
      </c>
      <c r="C203" s="49" t="s">
        <v>120</v>
      </c>
      <c r="D203" s="84" t="s">
        <v>115</v>
      </c>
      <c r="E203" s="29" t="s">
        <v>362</v>
      </c>
      <c r="F203" s="28"/>
      <c r="G203" s="58"/>
      <c r="H203" s="122">
        <f>H204</f>
        <v>2666</v>
      </c>
      <c r="I203" s="50">
        <f>I204</f>
        <v>2666</v>
      </c>
    </row>
    <row r="204" spans="1:9" ht="15.75">
      <c r="A204" s="269" t="s">
        <v>322</v>
      </c>
      <c r="B204" s="91" t="s">
        <v>201</v>
      </c>
      <c r="C204" s="49" t="s">
        <v>120</v>
      </c>
      <c r="D204" s="84" t="s">
        <v>115</v>
      </c>
      <c r="E204" s="29" t="s">
        <v>362</v>
      </c>
      <c r="F204" s="28"/>
      <c r="G204" s="58" t="s">
        <v>319</v>
      </c>
      <c r="H204" s="122">
        <f>3016+5500-250-5500-100</f>
        <v>2666</v>
      </c>
      <c r="I204" s="50">
        <f>3016+5500-5500-250-100</f>
        <v>2666</v>
      </c>
    </row>
    <row r="205" spans="1:9" ht="15.75">
      <c r="A205" s="110" t="s">
        <v>18</v>
      </c>
      <c r="B205" s="91" t="s">
        <v>201</v>
      </c>
      <c r="C205" s="49" t="s">
        <v>120</v>
      </c>
      <c r="D205" s="84" t="s">
        <v>115</v>
      </c>
      <c r="E205" s="29" t="s">
        <v>175</v>
      </c>
      <c r="F205" s="28"/>
      <c r="G205" s="58"/>
      <c r="H205" s="122">
        <f>H206</f>
        <v>1165</v>
      </c>
      <c r="I205" s="30">
        <f>I206</f>
        <v>0</v>
      </c>
    </row>
    <row r="206" spans="1:9" ht="15.75">
      <c r="A206" s="185" t="s">
        <v>155</v>
      </c>
      <c r="B206" s="91" t="s">
        <v>201</v>
      </c>
      <c r="C206" s="49" t="s">
        <v>120</v>
      </c>
      <c r="D206" s="84" t="s">
        <v>115</v>
      </c>
      <c r="E206" s="29" t="s">
        <v>175</v>
      </c>
      <c r="F206" s="28"/>
      <c r="G206" s="133" t="s">
        <v>156</v>
      </c>
      <c r="H206" s="122">
        <f>250+915</f>
        <v>1165</v>
      </c>
      <c r="I206" s="30"/>
    </row>
    <row r="207" spans="1:9" ht="15.75">
      <c r="A207" s="103" t="s">
        <v>176</v>
      </c>
      <c r="B207" s="82" t="s">
        <v>201</v>
      </c>
      <c r="C207" s="59" t="s">
        <v>120</v>
      </c>
      <c r="D207" s="85" t="s">
        <v>119</v>
      </c>
      <c r="E207" s="33"/>
      <c r="F207" s="32"/>
      <c r="G207" s="99"/>
      <c r="H207" s="272">
        <f>H208</f>
        <v>390.6</v>
      </c>
      <c r="I207" s="34">
        <f>I208</f>
        <v>390.6</v>
      </c>
    </row>
    <row r="208" spans="1:9" ht="15.75">
      <c r="A208" s="109" t="s">
        <v>191</v>
      </c>
      <c r="B208" s="91" t="s">
        <v>201</v>
      </c>
      <c r="C208" s="49" t="s">
        <v>120</v>
      </c>
      <c r="D208" s="84" t="s">
        <v>119</v>
      </c>
      <c r="E208" s="29" t="s">
        <v>30</v>
      </c>
      <c r="F208" s="28"/>
      <c r="G208" s="58"/>
      <c r="H208" s="122">
        <f>H210+H212</f>
        <v>390.6</v>
      </c>
      <c r="I208" s="39">
        <f>I210+I212</f>
        <v>390.6</v>
      </c>
    </row>
    <row r="209" spans="1:9" ht="43.5">
      <c r="A209" s="114" t="s">
        <v>337</v>
      </c>
      <c r="B209" s="91" t="s">
        <v>201</v>
      </c>
      <c r="C209" s="49" t="s">
        <v>120</v>
      </c>
      <c r="D209" s="84" t="s">
        <v>119</v>
      </c>
      <c r="E209" s="29" t="s">
        <v>338</v>
      </c>
      <c r="F209" s="28"/>
      <c r="G209" s="58"/>
      <c r="H209" s="175">
        <f>H210</f>
        <v>390.40000000000003</v>
      </c>
      <c r="I209" s="30">
        <f>I210</f>
        <v>390.40000000000003</v>
      </c>
    </row>
    <row r="210" spans="1:9" ht="15.75">
      <c r="A210" s="269" t="s">
        <v>322</v>
      </c>
      <c r="B210" s="91" t="s">
        <v>201</v>
      </c>
      <c r="C210" s="49" t="s">
        <v>120</v>
      </c>
      <c r="D210" s="84" t="s">
        <v>119</v>
      </c>
      <c r="E210" s="29" t="s">
        <v>338</v>
      </c>
      <c r="F210" s="28"/>
      <c r="G210" s="133" t="s">
        <v>319</v>
      </c>
      <c r="H210" s="122">
        <f>390.6-0.2</f>
        <v>390.40000000000003</v>
      </c>
      <c r="I210" s="50">
        <f>390.6-0.2</f>
        <v>390.40000000000003</v>
      </c>
    </row>
    <row r="211" spans="1:9" ht="48" customHeight="1">
      <c r="A211" s="114" t="s">
        <v>346</v>
      </c>
      <c r="B211" s="91" t="s">
        <v>201</v>
      </c>
      <c r="C211" s="49" t="s">
        <v>120</v>
      </c>
      <c r="D211" s="84" t="s">
        <v>119</v>
      </c>
      <c r="E211" s="29" t="s">
        <v>343</v>
      </c>
      <c r="F211" s="28"/>
      <c r="G211" s="58"/>
      <c r="H211" s="122">
        <f>H212</f>
        <v>0.2</v>
      </c>
      <c r="I211" s="39">
        <f>I212</f>
        <v>0.2</v>
      </c>
    </row>
    <row r="212" spans="1:9" ht="15.75">
      <c r="A212" s="269" t="s">
        <v>322</v>
      </c>
      <c r="B212" s="91" t="s">
        <v>201</v>
      </c>
      <c r="C212" s="49" t="s">
        <v>120</v>
      </c>
      <c r="D212" s="84" t="s">
        <v>119</v>
      </c>
      <c r="E212" s="29" t="s">
        <v>343</v>
      </c>
      <c r="F212" s="28"/>
      <c r="G212" s="133" t="s">
        <v>319</v>
      </c>
      <c r="H212" s="122">
        <v>0.2</v>
      </c>
      <c r="I212" s="30">
        <v>0.2</v>
      </c>
    </row>
    <row r="213" spans="1:9" ht="15.75">
      <c r="A213" s="103" t="s">
        <v>177</v>
      </c>
      <c r="B213" s="82" t="s">
        <v>201</v>
      </c>
      <c r="C213" s="59" t="s">
        <v>120</v>
      </c>
      <c r="D213" s="85" t="s">
        <v>116</v>
      </c>
      <c r="E213" s="33"/>
      <c r="F213" s="32"/>
      <c r="G213" s="99"/>
      <c r="H213" s="173">
        <f>H214+H221</f>
        <v>54389.5</v>
      </c>
      <c r="I213" s="210">
        <f>I214+I221</f>
        <v>54389.5</v>
      </c>
    </row>
    <row r="214" spans="1:9" ht="15.75">
      <c r="A214" s="110" t="s">
        <v>178</v>
      </c>
      <c r="B214" s="91" t="s">
        <v>201</v>
      </c>
      <c r="C214" s="49" t="s">
        <v>120</v>
      </c>
      <c r="D214" s="84" t="s">
        <v>116</v>
      </c>
      <c r="E214" s="29" t="s">
        <v>179</v>
      </c>
      <c r="F214" s="28"/>
      <c r="G214" s="58"/>
      <c r="H214" s="171">
        <f>H215+H217+H219</f>
        <v>51343.5</v>
      </c>
      <c r="I214" s="30">
        <f>I215+I217+I219</f>
        <v>51343.5</v>
      </c>
    </row>
    <row r="215" spans="1:9" ht="29.25">
      <c r="A215" s="114" t="s">
        <v>351</v>
      </c>
      <c r="B215" s="91" t="s">
        <v>201</v>
      </c>
      <c r="C215" s="49" t="s">
        <v>120</v>
      </c>
      <c r="D215" s="84" t="s">
        <v>116</v>
      </c>
      <c r="E215" s="29" t="s">
        <v>350</v>
      </c>
      <c r="F215" s="28"/>
      <c r="G215" s="58"/>
      <c r="H215" s="171">
        <f>H216</f>
        <v>50878.3</v>
      </c>
      <c r="I215" s="68">
        <f>I216</f>
        <v>50878.3</v>
      </c>
    </row>
    <row r="216" spans="1:9" ht="15.75">
      <c r="A216" s="269" t="s">
        <v>322</v>
      </c>
      <c r="B216" s="91" t="s">
        <v>201</v>
      </c>
      <c r="C216" s="49" t="s">
        <v>120</v>
      </c>
      <c r="D216" s="84" t="s">
        <v>116</v>
      </c>
      <c r="E216" s="29" t="s">
        <v>350</v>
      </c>
      <c r="F216" s="28"/>
      <c r="G216" s="58" t="s">
        <v>319</v>
      </c>
      <c r="H216" s="171">
        <f>51178.3-300</f>
        <v>50878.3</v>
      </c>
      <c r="I216" s="30">
        <f>51178.3-300</f>
        <v>50878.3</v>
      </c>
    </row>
    <row r="217" spans="1:9" ht="43.5">
      <c r="A217" s="114" t="s">
        <v>352</v>
      </c>
      <c r="B217" s="91" t="s">
        <v>201</v>
      </c>
      <c r="C217" s="49" t="s">
        <v>120</v>
      </c>
      <c r="D217" s="84" t="s">
        <v>116</v>
      </c>
      <c r="E217" s="29" t="s">
        <v>353</v>
      </c>
      <c r="F217" s="28"/>
      <c r="G217" s="58"/>
      <c r="H217" s="171">
        <v>65.2</v>
      </c>
      <c r="I217" s="68">
        <v>65.2</v>
      </c>
    </row>
    <row r="218" spans="1:9" ht="15.75">
      <c r="A218" s="269" t="s">
        <v>322</v>
      </c>
      <c r="B218" s="91" t="s">
        <v>201</v>
      </c>
      <c r="C218" s="49" t="s">
        <v>120</v>
      </c>
      <c r="D218" s="84" t="s">
        <v>116</v>
      </c>
      <c r="E218" s="29" t="s">
        <v>353</v>
      </c>
      <c r="F218" s="28"/>
      <c r="G218" s="58" t="s">
        <v>319</v>
      </c>
      <c r="H218" s="171">
        <v>65.2</v>
      </c>
      <c r="I218" s="30">
        <v>65.2</v>
      </c>
    </row>
    <row r="219" spans="1:9" ht="29.25">
      <c r="A219" s="114" t="s">
        <v>365</v>
      </c>
      <c r="B219" s="91" t="s">
        <v>201</v>
      </c>
      <c r="C219" s="49" t="s">
        <v>120</v>
      </c>
      <c r="D219" s="84" t="s">
        <v>116</v>
      </c>
      <c r="E219" s="29" t="s">
        <v>364</v>
      </c>
      <c r="F219" s="28"/>
      <c r="G219" s="58"/>
      <c r="H219" s="171">
        <f>H220</f>
        <v>400</v>
      </c>
      <c r="I219" s="30">
        <f>I220</f>
        <v>400</v>
      </c>
    </row>
    <row r="220" spans="1:9" ht="15.75">
      <c r="A220" s="269" t="s">
        <v>322</v>
      </c>
      <c r="B220" s="91" t="s">
        <v>201</v>
      </c>
      <c r="C220" s="49" t="s">
        <v>120</v>
      </c>
      <c r="D220" s="84" t="s">
        <v>116</v>
      </c>
      <c r="E220" s="29" t="s">
        <v>364</v>
      </c>
      <c r="F220" s="28"/>
      <c r="G220" s="58" t="s">
        <v>319</v>
      </c>
      <c r="H220" s="171">
        <f>300+100</f>
        <v>400</v>
      </c>
      <c r="I220" s="30">
        <f>300+100</f>
        <v>400</v>
      </c>
    </row>
    <row r="221" spans="1:9" ht="15.75">
      <c r="A221" s="110" t="s">
        <v>79</v>
      </c>
      <c r="B221" s="91" t="s">
        <v>201</v>
      </c>
      <c r="C221" s="49" t="s">
        <v>120</v>
      </c>
      <c r="D221" s="84" t="s">
        <v>116</v>
      </c>
      <c r="E221" s="29" t="s">
        <v>63</v>
      </c>
      <c r="F221" s="28"/>
      <c r="G221" s="58"/>
      <c r="H221" s="171">
        <f>H222</f>
        <v>3046</v>
      </c>
      <c r="I221" s="30">
        <f>I222</f>
        <v>3046</v>
      </c>
    </row>
    <row r="222" spans="1:9" ht="43.5">
      <c r="A222" s="114" t="s">
        <v>180</v>
      </c>
      <c r="B222" s="91" t="s">
        <v>201</v>
      </c>
      <c r="C222" s="49" t="s">
        <v>120</v>
      </c>
      <c r="D222" s="84" t="s">
        <v>116</v>
      </c>
      <c r="E222" s="29" t="s">
        <v>160</v>
      </c>
      <c r="F222" s="28"/>
      <c r="G222" s="58"/>
      <c r="H222" s="171">
        <f>H223</f>
        <v>3046</v>
      </c>
      <c r="I222" s="39">
        <f>I223</f>
        <v>3046</v>
      </c>
    </row>
    <row r="223" spans="1:9" ht="15.75">
      <c r="A223" s="269" t="s">
        <v>322</v>
      </c>
      <c r="B223" s="91" t="s">
        <v>201</v>
      </c>
      <c r="C223" s="49" t="s">
        <v>120</v>
      </c>
      <c r="D223" s="84" t="s">
        <v>116</v>
      </c>
      <c r="E223" s="29" t="s">
        <v>160</v>
      </c>
      <c r="F223" s="28"/>
      <c r="G223" s="133" t="s">
        <v>319</v>
      </c>
      <c r="H223" s="171">
        <f>2750-54+350</f>
        <v>3046</v>
      </c>
      <c r="I223" s="30">
        <f>2750-54+350</f>
        <v>3046</v>
      </c>
    </row>
    <row r="224" spans="1:9" ht="15.75">
      <c r="A224" s="316" t="s">
        <v>401</v>
      </c>
      <c r="B224" s="91" t="s">
        <v>201</v>
      </c>
      <c r="C224" s="49" t="s">
        <v>120</v>
      </c>
      <c r="D224" s="84" t="s">
        <v>120</v>
      </c>
      <c r="E224" s="29"/>
      <c r="F224" s="28"/>
      <c r="G224" s="133"/>
      <c r="H224" s="171">
        <f aca="true" t="shared" si="8" ref="H224:I229">H225</f>
        <v>500904.9</v>
      </c>
      <c r="I224" s="30">
        <f t="shared" si="8"/>
        <v>500816.4</v>
      </c>
    </row>
    <row r="225" spans="1:9" ht="15.75">
      <c r="A225" s="113" t="s">
        <v>228</v>
      </c>
      <c r="B225" s="91" t="s">
        <v>201</v>
      </c>
      <c r="C225" s="49" t="s">
        <v>120</v>
      </c>
      <c r="D225" s="84" t="s">
        <v>120</v>
      </c>
      <c r="E225" s="29" t="s">
        <v>227</v>
      </c>
      <c r="F225" s="28"/>
      <c r="G225" s="133"/>
      <c r="H225" s="171">
        <f t="shared" si="8"/>
        <v>500904.9</v>
      </c>
      <c r="I225" s="30">
        <f t="shared" si="8"/>
        <v>500816.4</v>
      </c>
    </row>
    <row r="226" spans="1:9" ht="51.75" customHeight="1">
      <c r="A226" s="111" t="s">
        <v>399</v>
      </c>
      <c r="B226" s="84" t="s">
        <v>201</v>
      </c>
      <c r="C226" s="29" t="s">
        <v>120</v>
      </c>
      <c r="D226" s="84" t="s">
        <v>120</v>
      </c>
      <c r="E226" s="29" t="s">
        <v>398</v>
      </c>
      <c r="F226" s="28"/>
      <c r="G226" s="58"/>
      <c r="H226" s="171">
        <f>H229+H227</f>
        <v>500904.9</v>
      </c>
      <c r="I226" s="30">
        <f>I229+I227</f>
        <v>500816.4</v>
      </c>
    </row>
    <row r="227" spans="1:9" ht="51.75" customHeight="1">
      <c r="A227" s="251" t="s">
        <v>471</v>
      </c>
      <c r="B227" s="91" t="s">
        <v>201</v>
      </c>
      <c r="C227" s="49" t="s">
        <v>120</v>
      </c>
      <c r="D227" s="91" t="s">
        <v>120</v>
      </c>
      <c r="E227" s="49" t="s">
        <v>470</v>
      </c>
      <c r="F227" s="48"/>
      <c r="G227" s="133"/>
      <c r="H227" s="170">
        <f>H228</f>
        <v>231980</v>
      </c>
      <c r="I227" s="50">
        <f>I228</f>
        <v>231980</v>
      </c>
    </row>
    <row r="228" spans="1:9" ht="24" customHeight="1">
      <c r="A228" s="269" t="s">
        <v>322</v>
      </c>
      <c r="B228" s="91" t="s">
        <v>201</v>
      </c>
      <c r="C228" s="49" t="s">
        <v>120</v>
      </c>
      <c r="D228" s="91" t="s">
        <v>120</v>
      </c>
      <c r="E228" s="49" t="s">
        <v>470</v>
      </c>
      <c r="F228" s="48"/>
      <c r="G228" s="133" t="s">
        <v>319</v>
      </c>
      <c r="H228" s="170">
        <v>231980</v>
      </c>
      <c r="I228" s="50">
        <v>231980</v>
      </c>
    </row>
    <row r="229" spans="1:9" ht="29.25">
      <c r="A229" s="201" t="s">
        <v>400</v>
      </c>
      <c r="B229" s="91" t="s">
        <v>201</v>
      </c>
      <c r="C229" s="49" t="s">
        <v>120</v>
      </c>
      <c r="D229" s="84" t="s">
        <v>120</v>
      </c>
      <c r="E229" s="29" t="s">
        <v>397</v>
      </c>
      <c r="F229" s="28"/>
      <c r="G229" s="133"/>
      <c r="H229" s="171">
        <f t="shared" si="8"/>
        <v>268924.9</v>
      </c>
      <c r="I229" s="30">
        <f t="shared" si="8"/>
        <v>268836.4</v>
      </c>
    </row>
    <row r="230" spans="1:9" ht="15.75">
      <c r="A230" s="269" t="s">
        <v>322</v>
      </c>
      <c r="B230" s="91" t="s">
        <v>201</v>
      </c>
      <c r="C230" s="49" t="s">
        <v>120</v>
      </c>
      <c r="D230" s="84" t="s">
        <v>120</v>
      </c>
      <c r="E230" s="29" t="s">
        <v>397</v>
      </c>
      <c r="F230" s="28"/>
      <c r="G230" s="133" t="s">
        <v>319</v>
      </c>
      <c r="H230" s="171">
        <f>88.5+157103+111733.4</f>
        <v>268924.9</v>
      </c>
      <c r="I230" s="50">
        <f>157103+111733.4</f>
        <v>268836.4</v>
      </c>
    </row>
    <row r="231" spans="1:9" ht="15.75">
      <c r="A231" s="53" t="s">
        <v>3</v>
      </c>
      <c r="B231" s="85" t="s">
        <v>201</v>
      </c>
      <c r="C231" s="33" t="s">
        <v>121</v>
      </c>
      <c r="D231" s="85"/>
      <c r="E231" s="33"/>
      <c r="F231" s="32"/>
      <c r="G231" s="99"/>
      <c r="H231" s="169">
        <f>H232+H236+H242</f>
        <v>52795.8</v>
      </c>
      <c r="I231" s="61">
        <f>I232+I236+I242</f>
        <v>43703</v>
      </c>
    </row>
    <row r="232" spans="1:9" ht="15.75">
      <c r="A232" s="15" t="s">
        <v>33</v>
      </c>
      <c r="B232" s="82" t="s">
        <v>201</v>
      </c>
      <c r="C232" s="59" t="s">
        <v>121</v>
      </c>
      <c r="D232" s="82" t="s">
        <v>114</v>
      </c>
      <c r="E232" s="33"/>
      <c r="F232" s="32"/>
      <c r="G232" s="99"/>
      <c r="H232" s="173">
        <f aca="true" t="shared" si="9" ref="H232:I234">H233</f>
        <v>1375.4</v>
      </c>
      <c r="I232" s="61">
        <f t="shared" si="9"/>
        <v>0</v>
      </c>
    </row>
    <row r="233" spans="1:9" ht="15.75">
      <c r="A233" s="111" t="s">
        <v>144</v>
      </c>
      <c r="B233" s="84" t="s">
        <v>201</v>
      </c>
      <c r="C233" s="49" t="s">
        <v>121</v>
      </c>
      <c r="D233" s="84" t="s">
        <v>114</v>
      </c>
      <c r="E233" s="29" t="s">
        <v>145</v>
      </c>
      <c r="F233" s="28"/>
      <c r="G233" s="58"/>
      <c r="H233" s="171">
        <f t="shared" si="9"/>
        <v>1375.4</v>
      </c>
      <c r="I233" s="30">
        <f t="shared" si="9"/>
        <v>0</v>
      </c>
    </row>
    <row r="234" spans="1:9" ht="29.25">
      <c r="A234" s="111" t="s">
        <v>75</v>
      </c>
      <c r="B234" s="89" t="s">
        <v>201</v>
      </c>
      <c r="C234" s="49" t="s">
        <v>121</v>
      </c>
      <c r="D234" s="89" t="s">
        <v>114</v>
      </c>
      <c r="E234" s="38" t="s">
        <v>146</v>
      </c>
      <c r="F234" s="37"/>
      <c r="G234" s="58"/>
      <c r="H234" s="174">
        <f t="shared" si="9"/>
        <v>1375.4</v>
      </c>
      <c r="I234" s="39">
        <f t="shared" si="9"/>
        <v>0</v>
      </c>
    </row>
    <row r="235" spans="1:9" ht="15.75">
      <c r="A235" s="111" t="s">
        <v>100</v>
      </c>
      <c r="B235" s="89" t="s">
        <v>201</v>
      </c>
      <c r="C235" s="49" t="s">
        <v>121</v>
      </c>
      <c r="D235" s="89" t="s">
        <v>114</v>
      </c>
      <c r="E235" s="38" t="s">
        <v>146</v>
      </c>
      <c r="F235" s="37"/>
      <c r="G235" s="58" t="s">
        <v>38</v>
      </c>
      <c r="H235" s="174">
        <v>1375.4</v>
      </c>
      <c r="I235" s="119"/>
    </row>
    <row r="236" spans="1:9" ht="15.75">
      <c r="A236" s="53" t="s">
        <v>64</v>
      </c>
      <c r="B236" s="85" t="s">
        <v>201</v>
      </c>
      <c r="C236" s="59" t="s">
        <v>121</v>
      </c>
      <c r="D236" s="85" t="s">
        <v>119</v>
      </c>
      <c r="E236" s="33"/>
      <c r="F236" s="32"/>
      <c r="G236" s="99"/>
      <c r="H236" s="169">
        <f>H237</f>
        <v>44566</v>
      </c>
      <c r="I236" s="34">
        <f>I237</f>
        <v>43703</v>
      </c>
    </row>
    <row r="237" spans="1:9" ht="15.75">
      <c r="A237" s="109" t="s">
        <v>147</v>
      </c>
      <c r="B237" s="84" t="s">
        <v>201</v>
      </c>
      <c r="C237" s="49" t="s">
        <v>121</v>
      </c>
      <c r="D237" s="84" t="s">
        <v>119</v>
      </c>
      <c r="E237" s="29" t="s">
        <v>58</v>
      </c>
      <c r="F237" s="28"/>
      <c r="G237" s="58"/>
      <c r="H237" s="171">
        <f>H238+H240</f>
        <v>44566</v>
      </c>
      <c r="I237" s="30">
        <f>I238+I240</f>
        <v>43703</v>
      </c>
    </row>
    <row r="238" spans="1:9" ht="15.75">
      <c r="A238" s="109" t="s">
        <v>148</v>
      </c>
      <c r="B238" s="84" t="s">
        <v>201</v>
      </c>
      <c r="C238" s="49" t="s">
        <v>121</v>
      </c>
      <c r="D238" s="84" t="s">
        <v>119</v>
      </c>
      <c r="E238" s="29" t="s">
        <v>185</v>
      </c>
      <c r="F238" s="28" t="s">
        <v>59</v>
      </c>
      <c r="G238" s="58"/>
      <c r="H238" s="171">
        <f>H239</f>
        <v>863</v>
      </c>
      <c r="I238" s="30">
        <f>I239</f>
        <v>0</v>
      </c>
    </row>
    <row r="239" spans="1:9" ht="15.75">
      <c r="A239" s="111" t="s">
        <v>100</v>
      </c>
      <c r="B239" s="84" t="s">
        <v>201</v>
      </c>
      <c r="C239" s="49" t="s">
        <v>121</v>
      </c>
      <c r="D239" s="84" t="s">
        <v>119</v>
      </c>
      <c r="E239" s="29" t="s">
        <v>185</v>
      </c>
      <c r="F239" s="28"/>
      <c r="G239" s="29" t="s">
        <v>38</v>
      </c>
      <c r="H239" s="171">
        <f>733+130</f>
        <v>863</v>
      </c>
      <c r="I239" s="30"/>
    </row>
    <row r="240" spans="1:9" ht="29.25">
      <c r="A240" s="111" t="s">
        <v>93</v>
      </c>
      <c r="B240" s="84" t="s">
        <v>201</v>
      </c>
      <c r="C240" s="49" t="s">
        <v>121</v>
      </c>
      <c r="D240" s="84" t="s">
        <v>119</v>
      </c>
      <c r="E240" s="29" t="s">
        <v>149</v>
      </c>
      <c r="F240" s="28"/>
      <c r="G240" s="58"/>
      <c r="H240" s="171">
        <f>H241</f>
        <v>43703</v>
      </c>
      <c r="I240" s="30">
        <f>I241</f>
        <v>43703</v>
      </c>
    </row>
    <row r="241" spans="1:9" ht="29.25">
      <c r="A241" s="111" t="s">
        <v>434</v>
      </c>
      <c r="B241" s="84" t="s">
        <v>201</v>
      </c>
      <c r="C241" s="49" t="s">
        <v>121</v>
      </c>
      <c r="D241" s="84" t="s">
        <v>119</v>
      </c>
      <c r="E241" s="29" t="s">
        <v>149</v>
      </c>
      <c r="F241" s="28"/>
      <c r="G241" s="29" t="s">
        <v>433</v>
      </c>
      <c r="H241" s="171">
        <f>38744+4959</f>
        <v>43703</v>
      </c>
      <c r="I241" s="30">
        <f>38744+4959</f>
        <v>43703</v>
      </c>
    </row>
    <row r="242" spans="1:9" ht="15.75">
      <c r="A242" s="53" t="s">
        <v>82</v>
      </c>
      <c r="B242" s="85" t="s">
        <v>201</v>
      </c>
      <c r="C242" s="59" t="s">
        <v>121</v>
      </c>
      <c r="D242" s="85" t="s">
        <v>130</v>
      </c>
      <c r="E242" s="33"/>
      <c r="F242" s="32"/>
      <c r="G242" s="99"/>
      <c r="H242" s="169">
        <f>H243</f>
        <v>6854.4</v>
      </c>
      <c r="I242" s="34">
        <f>I243</f>
        <v>0</v>
      </c>
    </row>
    <row r="243" spans="1:9" ht="15.75">
      <c r="A243" s="110" t="s">
        <v>83</v>
      </c>
      <c r="B243" s="84" t="s">
        <v>201</v>
      </c>
      <c r="C243" s="49" t="s">
        <v>121</v>
      </c>
      <c r="D243" s="84" t="s">
        <v>130</v>
      </c>
      <c r="E243" s="29" t="s">
        <v>84</v>
      </c>
      <c r="F243" s="28" t="s">
        <v>36</v>
      </c>
      <c r="G243" s="58"/>
      <c r="H243" s="171">
        <f>H244</f>
        <v>6854.4</v>
      </c>
      <c r="I243" s="30">
        <f>I244</f>
        <v>0</v>
      </c>
    </row>
    <row r="244" spans="1:9" ht="43.5">
      <c r="A244" s="160" t="s">
        <v>249</v>
      </c>
      <c r="B244" s="84" t="s">
        <v>201</v>
      </c>
      <c r="C244" s="49" t="s">
        <v>121</v>
      </c>
      <c r="D244" s="91" t="s">
        <v>130</v>
      </c>
      <c r="E244" s="29" t="s">
        <v>151</v>
      </c>
      <c r="F244" s="28" t="s">
        <v>36</v>
      </c>
      <c r="G244" s="133"/>
      <c r="H244" s="171">
        <f>H246+H245</f>
        <v>6854.4</v>
      </c>
      <c r="I244" s="30">
        <f>I246</f>
        <v>0</v>
      </c>
    </row>
    <row r="245" spans="1:10" ht="15.75">
      <c r="A245" s="297" t="s">
        <v>100</v>
      </c>
      <c r="B245" s="298" t="s">
        <v>201</v>
      </c>
      <c r="C245" s="294" t="s">
        <v>121</v>
      </c>
      <c r="D245" s="298" t="s">
        <v>130</v>
      </c>
      <c r="E245" s="294" t="s">
        <v>151</v>
      </c>
      <c r="F245" s="299"/>
      <c r="G245" s="300" t="s">
        <v>38</v>
      </c>
      <c r="H245" s="301">
        <v>200</v>
      </c>
      <c r="I245" s="302"/>
      <c r="J245" s="249"/>
    </row>
    <row r="246" spans="1:9" ht="15.75">
      <c r="A246" s="289" t="s">
        <v>94</v>
      </c>
      <c r="B246" s="303" t="s">
        <v>201</v>
      </c>
      <c r="C246" s="291" t="s">
        <v>121</v>
      </c>
      <c r="D246" s="304" t="s">
        <v>130</v>
      </c>
      <c r="E246" s="294" t="s">
        <v>151</v>
      </c>
      <c r="F246" s="293" t="s">
        <v>85</v>
      </c>
      <c r="G246" s="291" t="s">
        <v>158</v>
      </c>
      <c r="H246" s="305">
        <f>5230-300+2000-300+24.4</f>
        <v>6654.4</v>
      </c>
      <c r="I246" s="306"/>
    </row>
    <row r="247" spans="1:9" ht="15.75">
      <c r="A247" s="226" t="s">
        <v>142</v>
      </c>
      <c r="B247" s="85" t="s">
        <v>201</v>
      </c>
      <c r="C247" s="33" t="s">
        <v>196</v>
      </c>
      <c r="D247" s="82"/>
      <c r="E247" s="33"/>
      <c r="F247" s="32"/>
      <c r="G247" s="99"/>
      <c r="H247" s="409">
        <f>H248</f>
        <v>317213.6</v>
      </c>
      <c r="I247" s="34">
        <f>I248</f>
        <v>133348</v>
      </c>
    </row>
    <row r="248" spans="1:9" ht="15.75">
      <c r="A248" s="226" t="s">
        <v>200</v>
      </c>
      <c r="B248" s="85" t="s">
        <v>201</v>
      </c>
      <c r="C248" s="33" t="s">
        <v>196</v>
      </c>
      <c r="D248" s="82" t="s">
        <v>114</v>
      </c>
      <c r="E248" s="33"/>
      <c r="F248" s="32"/>
      <c r="G248" s="99"/>
      <c r="H248" s="409">
        <f>H253+H249</f>
        <v>317213.6</v>
      </c>
      <c r="I248" s="34">
        <f>I253+I249+I255</f>
        <v>133348</v>
      </c>
    </row>
    <row r="249" spans="1:9" ht="15.75">
      <c r="A249" s="113" t="s">
        <v>228</v>
      </c>
      <c r="B249" s="84" t="s">
        <v>201</v>
      </c>
      <c r="C249" s="29" t="s">
        <v>196</v>
      </c>
      <c r="D249" s="91" t="s">
        <v>114</v>
      </c>
      <c r="E249" s="29" t="s">
        <v>227</v>
      </c>
      <c r="F249" s="28"/>
      <c r="G249" s="58"/>
      <c r="H249" s="171">
        <f aca="true" t="shared" si="10" ref="H249:I251">H250</f>
        <v>130099.5</v>
      </c>
      <c r="I249" s="30">
        <f t="shared" si="10"/>
        <v>130000</v>
      </c>
    </row>
    <row r="250" spans="1:9" ht="29.25">
      <c r="A250" s="112" t="s">
        <v>280</v>
      </c>
      <c r="B250" s="84" t="s">
        <v>201</v>
      </c>
      <c r="C250" s="29" t="s">
        <v>196</v>
      </c>
      <c r="D250" s="91" t="s">
        <v>114</v>
      </c>
      <c r="E250" s="29" t="s">
        <v>295</v>
      </c>
      <c r="F250" s="28"/>
      <c r="G250" s="58"/>
      <c r="H250" s="171">
        <f t="shared" si="10"/>
        <v>130099.5</v>
      </c>
      <c r="I250" s="50">
        <f t="shared" si="10"/>
        <v>130000</v>
      </c>
    </row>
    <row r="251" spans="1:9" ht="18.75" customHeight="1">
      <c r="A251" s="111" t="s">
        <v>294</v>
      </c>
      <c r="B251" s="84" t="s">
        <v>201</v>
      </c>
      <c r="C251" s="29" t="s">
        <v>196</v>
      </c>
      <c r="D251" s="91" t="s">
        <v>114</v>
      </c>
      <c r="E251" s="29" t="s">
        <v>295</v>
      </c>
      <c r="F251" s="28"/>
      <c r="G251" s="58"/>
      <c r="H251" s="171">
        <f t="shared" si="10"/>
        <v>130099.5</v>
      </c>
      <c r="I251" s="30">
        <f t="shared" si="10"/>
        <v>130000</v>
      </c>
    </row>
    <row r="252" spans="1:9" ht="105">
      <c r="A252" s="128" t="s">
        <v>297</v>
      </c>
      <c r="B252" s="84" t="s">
        <v>201</v>
      </c>
      <c r="C252" s="29" t="s">
        <v>196</v>
      </c>
      <c r="D252" s="91" t="s">
        <v>114</v>
      </c>
      <c r="E252" s="29" t="s">
        <v>295</v>
      </c>
      <c r="F252" s="28"/>
      <c r="G252" s="58" t="s">
        <v>425</v>
      </c>
      <c r="H252" s="171">
        <f>130000+99.5</f>
        <v>130099.5</v>
      </c>
      <c r="I252" s="30">
        <v>130000</v>
      </c>
    </row>
    <row r="253" spans="1:9" ht="15.75">
      <c r="A253" s="109" t="s">
        <v>83</v>
      </c>
      <c r="B253" s="84" t="s">
        <v>201</v>
      </c>
      <c r="C253" s="29" t="s">
        <v>196</v>
      </c>
      <c r="D253" s="91" t="s">
        <v>114</v>
      </c>
      <c r="E253" s="29" t="s">
        <v>84</v>
      </c>
      <c r="F253" s="28"/>
      <c r="G253" s="58"/>
      <c r="H253" s="172">
        <f>H255+H254</f>
        <v>187114.1</v>
      </c>
      <c r="I253" s="50"/>
    </row>
    <row r="254" spans="1:9" ht="15.75">
      <c r="A254" s="113" t="s">
        <v>94</v>
      </c>
      <c r="B254" s="84" t="s">
        <v>201</v>
      </c>
      <c r="C254" s="29" t="s">
        <v>196</v>
      </c>
      <c r="D254" s="91" t="s">
        <v>114</v>
      </c>
      <c r="E254" s="29" t="s">
        <v>268</v>
      </c>
      <c r="F254" s="28"/>
      <c r="G254" s="58" t="s">
        <v>158</v>
      </c>
      <c r="H254" s="171">
        <v>114.1</v>
      </c>
      <c r="I254" s="30"/>
    </row>
    <row r="255" spans="1:9" ht="122.25" customHeight="1">
      <c r="A255" s="236" t="s">
        <v>250</v>
      </c>
      <c r="B255" s="141" t="s">
        <v>201</v>
      </c>
      <c r="C255" s="138" t="s">
        <v>196</v>
      </c>
      <c r="D255" s="141" t="s">
        <v>114</v>
      </c>
      <c r="E255" s="138" t="s">
        <v>268</v>
      </c>
      <c r="F255" s="139"/>
      <c r="G255" s="145"/>
      <c r="H255" s="172">
        <f>H256</f>
        <v>187000</v>
      </c>
      <c r="I255" s="66">
        <f>I256</f>
        <v>3348</v>
      </c>
    </row>
    <row r="256" spans="1:9" ht="18" customHeight="1" thickBot="1">
      <c r="A256" s="388" t="s">
        <v>131</v>
      </c>
      <c r="B256" s="389" t="s">
        <v>201</v>
      </c>
      <c r="C256" s="390" t="s">
        <v>196</v>
      </c>
      <c r="D256" s="389" t="s">
        <v>114</v>
      </c>
      <c r="E256" s="390" t="s">
        <v>268</v>
      </c>
      <c r="F256" s="391"/>
      <c r="G256" s="392" t="s">
        <v>44</v>
      </c>
      <c r="H256" s="410">
        <f>150000+47000-15012+15012-10000</f>
        <v>187000</v>
      </c>
      <c r="I256" s="393">
        <v>3348</v>
      </c>
    </row>
    <row r="257" spans="1:11" ht="36.75" thickBot="1">
      <c r="A257" s="231" t="s">
        <v>277</v>
      </c>
      <c r="B257" s="80" t="s">
        <v>202</v>
      </c>
      <c r="C257" s="80"/>
      <c r="D257" s="22"/>
      <c r="E257" s="22"/>
      <c r="F257" s="20"/>
      <c r="G257" s="126"/>
      <c r="H257" s="120">
        <f>H263+H358+H258</f>
        <v>1014183.7</v>
      </c>
      <c r="I257" s="23">
        <f>I263+I358+I258</f>
        <v>427274</v>
      </c>
      <c r="K257" s="108"/>
    </row>
    <row r="258" spans="1:11" ht="30">
      <c r="A258" s="240" t="s">
        <v>76</v>
      </c>
      <c r="B258" s="95" t="s">
        <v>202</v>
      </c>
      <c r="C258" s="26" t="s">
        <v>119</v>
      </c>
      <c r="D258" s="26"/>
      <c r="E258" s="26"/>
      <c r="F258" s="25"/>
      <c r="G258" s="241"/>
      <c r="H258" s="189">
        <f>H259</f>
        <v>550</v>
      </c>
      <c r="I258" s="27"/>
      <c r="K258" s="108"/>
    </row>
    <row r="259" spans="1:11" ht="30">
      <c r="A259" s="226" t="s">
        <v>71</v>
      </c>
      <c r="B259" s="82" t="s">
        <v>202</v>
      </c>
      <c r="C259" s="59" t="s">
        <v>119</v>
      </c>
      <c r="D259" s="59" t="s">
        <v>118</v>
      </c>
      <c r="E259" s="59"/>
      <c r="F259" s="36"/>
      <c r="G259" s="181"/>
      <c r="H259" s="173">
        <f>H260</f>
        <v>550</v>
      </c>
      <c r="I259" s="61"/>
      <c r="K259" s="108"/>
    </row>
    <row r="260" spans="1:11" ht="15.75">
      <c r="A260" s="110" t="s">
        <v>83</v>
      </c>
      <c r="B260" s="89" t="s">
        <v>202</v>
      </c>
      <c r="C260" s="38" t="s">
        <v>119</v>
      </c>
      <c r="D260" s="38" t="s">
        <v>118</v>
      </c>
      <c r="E260" s="38" t="s">
        <v>84</v>
      </c>
      <c r="F260" s="37"/>
      <c r="G260" s="100"/>
      <c r="H260" s="174">
        <f>H261</f>
        <v>550</v>
      </c>
      <c r="I260" s="50">
        <f>I261</f>
        <v>0</v>
      </c>
      <c r="K260" s="108"/>
    </row>
    <row r="261" spans="1:11" ht="43.5">
      <c r="A261" s="168" t="s">
        <v>252</v>
      </c>
      <c r="B261" s="84" t="s">
        <v>202</v>
      </c>
      <c r="C261" s="29" t="s">
        <v>119</v>
      </c>
      <c r="D261" s="29" t="s">
        <v>118</v>
      </c>
      <c r="E261" s="29" t="s">
        <v>150</v>
      </c>
      <c r="F261" s="76"/>
      <c r="G261" s="58"/>
      <c r="H261" s="171">
        <f>H262</f>
        <v>550</v>
      </c>
      <c r="I261" s="119"/>
      <c r="K261" s="108"/>
    </row>
    <row r="262" spans="1:11" ht="15.75">
      <c r="A262" s="185" t="s">
        <v>155</v>
      </c>
      <c r="B262" s="84" t="s">
        <v>202</v>
      </c>
      <c r="C262" s="29" t="s">
        <v>119</v>
      </c>
      <c r="D262" s="29" t="s">
        <v>118</v>
      </c>
      <c r="E262" s="29" t="s">
        <v>150</v>
      </c>
      <c r="F262" s="28"/>
      <c r="G262" s="58" t="s">
        <v>156</v>
      </c>
      <c r="H262" s="171">
        <v>550</v>
      </c>
      <c r="I262" s="47"/>
      <c r="K262" s="108"/>
    </row>
    <row r="263" spans="1:11" ht="15.75">
      <c r="A263" s="53" t="s">
        <v>4</v>
      </c>
      <c r="B263" s="85" t="s">
        <v>202</v>
      </c>
      <c r="C263" s="33" t="s">
        <v>122</v>
      </c>
      <c r="D263" s="33"/>
      <c r="E263" s="33"/>
      <c r="F263" s="32"/>
      <c r="G263" s="124"/>
      <c r="H263" s="165">
        <f>H284+H339+H264+H325</f>
        <v>1000451.2</v>
      </c>
      <c r="I263" s="34">
        <f>I284+I339+I264+I325</f>
        <v>415103.5</v>
      </c>
      <c r="K263" s="108"/>
    </row>
    <row r="264" spans="1:11" ht="15.75">
      <c r="A264" s="15" t="s">
        <v>5</v>
      </c>
      <c r="B264" s="82" t="s">
        <v>202</v>
      </c>
      <c r="C264" s="59" t="s">
        <v>122</v>
      </c>
      <c r="D264" s="59" t="s">
        <v>114</v>
      </c>
      <c r="E264" s="33"/>
      <c r="F264" s="32"/>
      <c r="G264" s="124"/>
      <c r="H264" s="263">
        <f>H265+H271</f>
        <v>381443.7</v>
      </c>
      <c r="I264" s="263">
        <f>I265+I271</f>
        <v>35579</v>
      </c>
      <c r="K264" s="108"/>
    </row>
    <row r="265" spans="1:9" ht="15.75">
      <c r="A265" s="109" t="s">
        <v>6</v>
      </c>
      <c r="B265" s="84" t="s">
        <v>202</v>
      </c>
      <c r="C265" s="29" t="s">
        <v>122</v>
      </c>
      <c r="D265" s="29" t="s">
        <v>114</v>
      </c>
      <c r="E265" s="29" t="s">
        <v>17</v>
      </c>
      <c r="F265" s="28"/>
      <c r="G265" s="69"/>
      <c r="H265" s="122">
        <f>H266+H268</f>
        <v>345854.9</v>
      </c>
      <c r="I265" s="30">
        <f>I266+I268</f>
        <v>90</v>
      </c>
    </row>
    <row r="266" spans="1:9" ht="15.75">
      <c r="A266" s="184" t="s">
        <v>237</v>
      </c>
      <c r="B266" s="84" t="s">
        <v>202</v>
      </c>
      <c r="C266" s="29" t="s">
        <v>122</v>
      </c>
      <c r="D266" s="29" t="s">
        <v>114</v>
      </c>
      <c r="E266" s="29" t="s">
        <v>239</v>
      </c>
      <c r="F266" s="28"/>
      <c r="G266" s="69"/>
      <c r="H266" s="122">
        <f>H267</f>
        <v>8765.5</v>
      </c>
      <c r="I266" s="30">
        <f>I267</f>
        <v>0</v>
      </c>
    </row>
    <row r="267" spans="1:9" ht="15.75">
      <c r="A267" s="185" t="s">
        <v>155</v>
      </c>
      <c r="B267" s="84" t="s">
        <v>202</v>
      </c>
      <c r="C267" s="29" t="s">
        <v>122</v>
      </c>
      <c r="D267" s="29" t="s">
        <v>114</v>
      </c>
      <c r="E267" s="29" t="s">
        <v>239</v>
      </c>
      <c r="F267" s="28"/>
      <c r="G267" s="69" t="s">
        <v>156</v>
      </c>
      <c r="H267" s="122">
        <v>8765.5</v>
      </c>
      <c r="I267" s="39"/>
    </row>
    <row r="268" spans="1:10" s="3" customFormat="1" ht="15.75">
      <c r="A268" s="47" t="s">
        <v>18</v>
      </c>
      <c r="B268" s="84" t="s">
        <v>202</v>
      </c>
      <c r="C268" s="29" t="s">
        <v>122</v>
      </c>
      <c r="D268" s="29" t="s">
        <v>114</v>
      </c>
      <c r="E268" s="29" t="s">
        <v>132</v>
      </c>
      <c r="F268" s="28"/>
      <c r="G268" s="69"/>
      <c r="H268" s="122">
        <f>H270+H269</f>
        <v>337089.4</v>
      </c>
      <c r="I268" s="30">
        <f>I270+I269</f>
        <v>90</v>
      </c>
      <c r="J268"/>
    </row>
    <row r="269" spans="1:10" s="3" customFormat="1" ht="15.75">
      <c r="A269" s="115" t="s">
        <v>103</v>
      </c>
      <c r="B269" s="84" t="s">
        <v>202</v>
      </c>
      <c r="C269" s="29" t="s">
        <v>122</v>
      </c>
      <c r="D269" s="29" t="s">
        <v>114</v>
      </c>
      <c r="E269" s="29" t="s">
        <v>132</v>
      </c>
      <c r="F269" s="28"/>
      <c r="G269" s="92" t="s">
        <v>56</v>
      </c>
      <c r="H269" s="122">
        <v>14</v>
      </c>
      <c r="I269" s="50"/>
      <c r="J269"/>
    </row>
    <row r="270" spans="1:11" ht="15.75">
      <c r="A270" s="185" t="s">
        <v>155</v>
      </c>
      <c r="B270" s="141" t="s">
        <v>202</v>
      </c>
      <c r="C270" s="138" t="s">
        <v>122</v>
      </c>
      <c r="D270" s="138" t="s">
        <v>114</v>
      </c>
      <c r="E270" s="138" t="s">
        <v>132</v>
      </c>
      <c r="F270" s="139"/>
      <c r="G270" s="142" t="s">
        <v>156</v>
      </c>
      <c r="H270" s="273">
        <f>330024.7+1195.7+3500+2265+90</f>
        <v>337075.4</v>
      </c>
      <c r="I270" s="144">
        <v>90</v>
      </c>
      <c r="K270" s="333"/>
    </row>
    <row r="271" spans="1:11" ht="15.75">
      <c r="A271" s="113" t="s">
        <v>228</v>
      </c>
      <c r="B271" s="91" t="s">
        <v>202</v>
      </c>
      <c r="C271" s="49" t="s">
        <v>122</v>
      </c>
      <c r="D271" s="91" t="s">
        <v>114</v>
      </c>
      <c r="E271" s="49" t="s">
        <v>227</v>
      </c>
      <c r="F271" s="48"/>
      <c r="G271" s="133"/>
      <c r="H271" s="190">
        <f>H272+H278</f>
        <v>35588.8</v>
      </c>
      <c r="I271" s="66">
        <f>I272+I278</f>
        <v>35489</v>
      </c>
      <c r="K271" s="3"/>
    </row>
    <row r="272" spans="1:11" ht="37.5" customHeight="1">
      <c r="A272" s="112" t="s">
        <v>386</v>
      </c>
      <c r="B272" s="84" t="s">
        <v>202</v>
      </c>
      <c r="C272" s="29" t="s">
        <v>122</v>
      </c>
      <c r="D272" s="91" t="s">
        <v>114</v>
      </c>
      <c r="E272" s="29" t="s">
        <v>383</v>
      </c>
      <c r="F272" s="28"/>
      <c r="G272" s="58"/>
      <c r="H272" s="190">
        <f>H276+H273</f>
        <v>4397.8</v>
      </c>
      <c r="I272" s="237">
        <f>I276+I273</f>
        <v>4298</v>
      </c>
      <c r="K272" s="3"/>
    </row>
    <row r="273" spans="1:11" ht="37.5" customHeight="1">
      <c r="A273" s="112" t="s">
        <v>484</v>
      </c>
      <c r="B273" s="84" t="s">
        <v>202</v>
      </c>
      <c r="C273" s="29" t="s">
        <v>122</v>
      </c>
      <c r="D273" s="91" t="s">
        <v>114</v>
      </c>
      <c r="E273" s="29" t="s">
        <v>483</v>
      </c>
      <c r="F273" s="28"/>
      <c r="G273" s="58"/>
      <c r="H273" s="190">
        <f>H274+H275</f>
        <v>4298</v>
      </c>
      <c r="I273" s="237">
        <f>I274+I275</f>
        <v>4298</v>
      </c>
      <c r="K273" s="3"/>
    </row>
    <row r="274" spans="1:11" ht="17.25" customHeight="1">
      <c r="A274" s="269" t="s">
        <v>322</v>
      </c>
      <c r="B274" s="84" t="s">
        <v>202</v>
      </c>
      <c r="C274" s="29" t="s">
        <v>122</v>
      </c>
      <c r="D274" s="91" t="s">
        <v>114</v>
      </c>
      <c r="E274" s="29" t="s">
        <v>483</v>
      </c>
      <c r="F274" s="28"/>
      <c r="G274" s="58" t="s">
        <v>319</v>
      </c>
      <c r="H274" s="190">
        <v>1848.1</v>
      </c>
      <c r="I274" s="66">
        <v>1848.1</v>
      </c>
      <c r="K274" s="3"/>
    </row>
    <row r="275" spans="1:11" ht="15.75" customHeight="1">
      <c r="A275" s="140" t="s">
        <v>323</v>
      </c>
      <c r="B275" s="89" t="s">
        <v>202</v>
      </c>
      <c r="C275" s="29" t="s">
        <v>122</v>
      </c>
      <c r="D275" s="91" t="s">
        <v>114</v>
      </c>
      <c r="E275" s="29" t="s">
        <v>483</v>
      </c>
      <c r="F275" s="28"/>
      <c r="G275" s="58" t="s">
        <v>320</v>
      </c>
      <c r="H275" s="190">
        <v>2449.9</v>
      </c>
      <c r="I275" s="66">
        <v>2449.9</v>
      </c>
      <c r="K275" s="3"/>
    </row>
    <row r="276" spans="1:11" ht="72">
      <c r="A276" s="112" t="s">
        <v>387</v>
      </c>
      <c r="B276" s="29" t="s">
        <v>202</v>
      </c>
      <c r="C276" s="29" t="s">
        <v>122</v>
      </c>
      <c r="D276" s="91" t="s">
        <v>114</v>
      </c>
      <c r="E276" s="29" t="s">
        <v>384</v>
      </c>
      <c r="F276" s="28"/>
      <c r="G276" s="58"/>
      <c r="H276" s="190">
        <f>H277</f>
        <v>99.8</v>
      </c>
      <c r="I276" s="66"/>
      <c r="K276" s="3"/>
    </row>
    <row r="277" spans="1:11" ht="15.75">
      <c r="A277" s="317" t="s">
        <v>322</v>
      </c>
      <c r="B277" s="29" t="s">
        <v>202</v>
      </c>
      <c r="C277" s="29" t="s">
        <v>122</v>
      </c>
      <c r="D277" s="67" t="s">
        <v>114</v>
      </c>
      <c r="E277" s="29" t="s">
        <v>384</v>
      </c>
      <c r="F277" s="28"/>
      <c r="G277" s="100" t="s">
        <v>319</v>
      </c>
      <c r="H277" s="311">
        <v>99.8</v>
      </c>
      <c r="I277" s="148"/>
      <c r="K277" s="3"/>
    </row>
    <row r="278" spans="1:11" ht="43.5">
      <c r="A278" s="236" t="s">
        <v>479</v>
      </c>
      <c r="B278" s="309" t="s">
        <v>202</v>
      </c>
      <c r="C278" s="239" t="s">
        <v>122</v>
      </c>
      <c r="D278" s="138" t="s">
        <v>114</v>
      </c>
      <c r="E278" s="310" t="s">
        <v>477</v>
      </c>
      <c r="F278" s="139"/>
      <c r="G278" s="145"/>
      <c r="H278" s="172">
        <f>H279+H282</f>
        <v>31191</v>
      </c>
      <c r="I278" s="66">
        <f>I279+I282</f>
        <v>31191</v>
      </c>
      <c r="K278" s="3"/>
    </row>
    <row r="279" spans="1:11" ht="29.25">
      <c r="A279" s="201" t="s">
        <v>478</v>
      </c>
      <c r="B279" s="182" t="s">
        <v>202</v>
      </c>
      <c r="C279" s="135" t="s">
        <v>122</v>
      </c>
      <c r="D279" s="138" t="s">
        <v>114</v>
      </c>
      <c r="E279" s="218" t="s">
        <v>482</v>
      </c>
      <c r="F279" s="139"/>
      <c r="G279" s="145"/>
      <c r="H279" s="172">
        <f>H280+H281</f>
        <v>30795</v>
      </c>
      <c r="I279" s="148">
        <f>I280+I281</f>
        <v>30795</v>
      </c>
      <c r="K279" s="3"/>
    </row>
    <row r="280" spans="1:11" ht="15.75">
      <c r="A280" s="269" t="s">
        <v>322</v>
      </c>
      <c r="B280" s="135" t="s">
        <v>202</v>
      </c>
      <c r="C280" s="141" t="s">
        <v>122</v>
      </c>
      <c r="D280" s="136" t="s">
        <v>114</v>
      </c>
      <c r="E280" s="398" t="s">
        <v>482</v>
      </c>
      <c r="F280" s="137"/>
      <c r="G280" s="401" t="s">
        <v>319</v>
      </c>
      <c r="H280" s="399">
        <v>17417.3</v>
      </c>
      <c r="I280" s="144">
        <v>17417.3</v>
      </c>
      <c r="K280" s="3"/>
    </row>
    <row r="281" spans="1:11" ht="15.75">
      <c r="A281" s="269" t="s">
        <v>323</v>
      </c>
      <c r="B281" s="135" t="s">
        <v>202</v>
      </c>
      <c r="C281" s="182" t="s">
        <v>122</v>
      </c>
      <c r="D281" s="138" t="s">
        <v>114</v>
      </c>
      <c r="E281" s="218" t="s">
        <v>482</v>
      </c>
      <c r="F281" s="139"/>
      <c r="G281" s="145" t="s">
        <v>320</v>
      </c>
      <c r="H281" s="172">
        <v>13377.7</v>
      </c>
      <c r="I281" s="144">
        <v>13377.7</v>
      </c>
      <c r="K281" s="3"/>
    </row>
    <row r="282" spans="1:11" ht="37.5" customHeight="1">
      <c r="A282" s="201" t="s">
        <v>489</v>
      </c>
      <c r="B282" s="141" t="s">
        <v>202</v>
      </c>
      <c r="C282" s="141" t="s">
        <v>122</v>
      </c>
      <c r="D282" s="138" t="s">
        <v>114</v>
      </c>
      <c r="E282" s="188" t="s">
        <v>488</v>
      </c>
      <c r="F282" s="396"/>
      <c r="G282" s="401"/>
      <c r="H282" s="172">
        <f>H283</f>
        <v>396</v>
      </c>
      <c r="I282" s="66">
        <f>I283</f>
        <v>396</v>
      </c>
      <c r="K282" s="3"/>
    </row>
    <row r="283" spans="1:11" ht="15.75">
      <c r="A283" s="172" t="s">
        <v>326</v>
      </c>
      <c r="B283" s="141" t="s">
        <v>202</v>
      </c>
      <c r="C283" s="141" t="s">
        <v>122</v>
      </c>
      <c r="D283" s="138" t="s">
        <v>114</v>
      </c>
      <c r="E283" s="188" t="s">
        <v>488</v>
      </c>
      <c r="F283" s="139"/>
      <c r="G283" s="145" t="s">
        <v>325</v>
      </c>
      <c r="H283" s="172">
        <v>396</v>
      </c>
      <c r="I283" s="148">
        <v>396</v>
      </c>
      <c r="K283" s="3"/>
    </row>
    <row r="284" spans="1:11" ht="15.75">
      <c r="A284" s="53" t="s">
        <v>7</v>
      </c>
      <c r="B284" s="96" t="s">
        <v>202</v>
      </c>
      <c r="C284" s="73" t="s">
        <v>122</v>
      </c>
      <c r="D284" s="73" t="s">
        <v>115</v>
      </c>
      <c r="E284" s="33"/>
      <c r="F284" s="32"/>
      <c r="G284" s="400"/>
      <c r="H284" s="165">
        <f>H285+H302+H308+H314</f>
        <v>501451.7</v>
      </c>
      <c r="I284" s="210">
        <f>I285+I302+I308+I314</f>
        <v>356693</v>
      </c>
      <c r="K284" s="108"/>
    </row>
    <row r="285" spans="1:9" ht="29.25">
      <c r="A285" s="114" t="s">
        <v>190</v>
      </c>
      <c r="B285" s="89" t="s">
        <v>202</v>
      </c>
      <c r="C285" s="38" t="s">
        <v>122</v>
      </c>
      <c r="D285" s="38" t="s">
        <v>115</v>
      </c>
      <c r="E285" s="38" t="s">
        <v>19</v>
      </c>
      <c r="F285" s="37"/>
      <c r="G285" s="69"/>
      <c r="H285" s="122">
        <f>H286+H297+H299+H294+H290</f>
        <v>388900.5</v>
      </c>
      <c r="I285" s="30">
        <f>I286+I297+I299+I294+I290</f>
        <v>321948</v>
      </c>
    </row>
    <row r="286" spans="1:9" ht="143.25">
      <c r="A286" s="114" t="s">
        <v>331</v>
      </c>
      <c r="B286" s="89" t="s">
        <v>202</v>
      </c>
      <c r="C286" s="38" t="s">
        <v>122</v>
      </c>
      <c r="D286" s="38" t="s">
        <v>115</v>
      </c>
      <c r="E286" s="38" t="s">
        <v>324</v>
      </c>
      <c r="F286" s="37"/>
      <c r="G286" s="69"/>
      <c r="H286" s="122">
        <f>H288+H289+H287</f>
        <v>296227.8</v>
      </c>
      <c r="I286" s="30">
        <f>I288+I289+I287</f>
        <v>296209</v>
      </c>
    </row>
    <row r="287" spans="1:9" ht="15.75">
      <c r="A287" s="185" t="s">
        <v>155</v>
      </c>
      <c r="B287" s="89" t="s">
        <v>202</v>
      </c>
      <c r="C287" s="38" t="s">
        <v>122</v>
      </c>
      <c r="D287" s="38" t="s">
        <v>115</v>
      </c>
      <c r="E287" s="38" t="s">
        <v>324</v>
      </c>
      <c r="F287" s="37"/>
      <c r="G287" s="69" t="s">
        <v>156</v>
      </c>
      <c r="H287" s="122">
        <f>1639-862</f>
        <v>777</v>
      </c>
      <c r="I287" s="30">
        <f>1639-862</f>
        <v>777</v>
      </c>
    </row>
    <row r="288" spans="1:9" ht="15.75">
      <c r="A288" s="269" t="s">
        <v>322</v>
      </c>
      <c r="B288" s="89" t="s">
        <v>202</v>
      </c>
      <c r="C288" s="38" t="s">
        <v>122</v>
      </c>
      <c r="D288" s="38" t="s">
        <v>115</v>
      </c>
      <c r="E288" s="38" t="s">
        <v>324</v>
      </c>
      <c r="F288" s="37"/>
      <c r="G288" s="69" t="s">
        <v>319</v>
      </c>
      <c r="H288" s="122">
        <f>64237-9889+18.8</f>
        <v>54366.8</v>
      </c>
      <c r="I288" s="30">
        <f>64237-9889</f>
        <v>54348</v>
      </c>
    </row>
    <row r="289" spans="1:9" ht="15.75">
      <c r="A289" s="269" t="s">
        <v>323</v>
      </c>
      <c r="B289" s="89" t="s">
        <v>202</v>
      </c>
      <c r="C289" s="38" t="s">
        <v>122</v>
      </c>
      <c r="D289" s="38" t="s">
        <v>115</v>
      </c>
      <c r="E289" s="38" t="s">
        <v>324</v>
      </c>
      <c r="F289" s="37"/>
      <c r="G289" s="69" t="s">
        <v>320</v>
      </c>
      <c r="H289" s="122">
        <v>241084</v>
      </c>
      <c r="I289" s="39">
        <v>241084</v>
      </c>
    </row>
    <row r="290" spans="1:9" ht="143.25">
      <c r="A290" s="114" t="s">
        <v>377</v>
      </c>
      <c r="B290" s="89" t="s">
        <v>202</v>
      </c>
      <c r="C290" s="38" t="s">
        <v>122</v>
      </c>
      <c r="D290" s="38" t="s">
        <v>115</v>
      </c>
      <c r="E290" s="38" t="s">
        <v>376</v>
      </c>
      <c r="F290" s="37"/>
      <c r="G290" s="69"/>
      <c r="H290" s="122">
        <f>H291+H292+H293</f>
        <v>8250</v>
      </c>
      <c r="I290" s="30">
        <f>I291+I292+I293</f>
        <v>8250</v>
      </c>
    </row>
    <row r="291" spans="1:9" ht="15.75">
      <c r="A291" s="269" t="s">
        <v>326</v>
      </c>
      <c r="B291" s="89" t="s">
        <v>202</v>
      </c>
      <c r="C291" s="38" t="s">
        <v>122</v>
      </c>
      <c r="D291" s="38" t="s">
        <v>115</v>
      </c>
      <c r="E291" s="38" t="s">
        <v>376</v>
      </c>
      <c r="F291" s="37"/>
      <c r="G291" s="69" t="s">
        <v>325</v>
      </c>
      <c r="H291" s="122">
        <f>8250-1146</f>
        <v>7104</v>
      </c>
      <c r="I291" s="30">
        <f>8250-1146</f>
        <v>7104</v>
      </c>
    </row>
    <row r="292" spans="1:9" ht="15.75">
      <c r="A292" s="269" t="s">
        <v>322</v>
      </c>
      <c r="B292" s="89" t="s">
        <v>202</v>
      </c>
      <c r="C292" s="38" t="s">
        <v>122</v>
      </c>
      <c r="D292" s="38" t="s">
        <v>115</v>
      </c>
      <c r="E292" s="38" t="s">
        <v>376</v>
      </c>
      <c r="F292" s="37"/>
      <c r="G292" s="69" t="s">
        <v>319</v>
      </c>
      <c r="H292" s="122">
        <v>127.3</v>
      </c>
      <c r="I292" s="30">
        <v>127.3</v>
      </c>
    </row>
    <row r="293" spans="1:9" ht="15.75">
      <c r="A293" s="269" t="s">
        <v>323</v>
      </c>
      <c r="B293" s="89" t="s">
        <v>202</v>
      </c>
      <c r="C293" s="38" t="s">
        <v>122</v>
      </c>
      <c r="D293" s="38" t="s">
        <v>115</v>
      </c>
      <c r="E293" s="38" t="s">
        <v>376</v>
      </c>
      <c r="F293" s="37"/>
      <c r="G293" s="69" t="s">
        <v>320</v>
      </c>
      <c r="H293" s="122">
        <v>1018.7</v>
      </c>
      <c r="I293" s="30">
        <v>1018.7</v>
      </c>
    </row>
    <row r="294" spans="1:9" ht="57.75">
      <c r="A294" s="201" t="s">
        <v>330</v>
      </c>
      <c r="B294" s="89" t="s">
        <v>202</v>
      </c>
      <c r="C294" s="38" t="s">
        <v>122</v>
      </c>
      <c r="D294" s="38" t="s">
        <v>115</v>
      </c>
      <c r="E294" s="38" t="s">
        <v>327</v>
      </c>
      <c r="F294" s="37"/>
      <c r="G294" s="69"/>
      <c r="H294" s="122">
        <f>H295+H296</f>
        <v>16519.199999999997</v>
      </c>
      <c r="I294" s="50">
        <f>I295+I296</f>
        <v>16519</v>
      </c>
    </row>
    <row r="295" spans="1:9" ht="15.75">
      <c r="A295" s="269" t="s">
        <v>322</v>
      </c>
      <c r="B295" s="89" t="s">
        <v>202</v>
      </c>
      <c r="C295" s="38" t="s">
        <v>122</v>
      </c>
      <c r="D295" s="38" t="s">
        <v>115</v>
      </c>
      <c r="E295" s="38" t="s">
        <v>327</v>
      </c>
      <c r="F295" s="37"/>
      <c r="G295" s="69" t="s">
        <v>319</v>
      </c>
      <c r="H295" s="122">
        <f>3345.2+0.2</f>
        <v>3345.3999999999996</v>
      </c>
      <c r="I295" s="50">
        <v>3345.2</v>
      </c>
    </row>
    <row r="296" spans="1:9" ht="15.75">
      <c r="A296" s="269" t="s">
        <v>323</v>
      </c>
      <c r="B296" s="89" t="s">
        <v>202</v>
      </c>
      <c r="C296" s="38" t="s">
        <v>122</v>
      </c>
      <c r="D296" s="38" t="s">
        <v>115</v>
      </c>
      <c r="E296" s="38" t="s">
        <v>327</v>
      </c>
      <c r="F296" s="37"/>
      <c r="G296" s="69" t="s">
        <v>320</v>
      </c>
      <c r="H296" s="122">
        <v>13173.8</v>
      </c>
      <c r="I296" s="30">
        <v>13173.8</v>
      </c>
    </row>
    <row r="297" spans="1:9" ht="15.75">
      <c r="A297" s="184" t="s">
        <v>237</v>
      </c>
      <c r="B297" s="89" t="s">
        <v>202</v>
      </c>
      <c r="C297" s="38" t="s">
        <v>122</v>
      </c>
      <c r="D297" s="38" t="s">
        <v>115</v>
      </c>
      <c r="E297" s="38" t="s">
        <v>240</v>
      </c>
      <c r="F297" s="37"/>
      <c r="G297" s="69"/>
      <c r="H297" s="122">
        <f>H298</f>
        <v>3120.2</v>
      </c>
      <c r="I297" s="30">
        <f>I298</f>
        <v>0</v>
      </c>
    </row>
    <row r="298" spans="1:11" ht="15.75">
      <c r="A298" s="185" t="s">
        <v>155</v>
      </c>
      <c r="B298" s="89" t="s">
        <v>202</v>
      </c>
      <c r="C298" s="38" t="s">
        <v>122</v>
      </c>
      <c r="D298" s="38" t="s">
        <v>115</v>
      </c>
      <c r="E298" s="38" t="s">
        <v>240</v>
      </c>
      <c r="F298" s="37"/>
      <c r="G298" s="69" t="s">
        <v>156</v>
      </c>
      <c r="H298" s="122">
        <f>9715.9-3500-1195.7-1900</f>
        <v>3120.2</v>
      </c>
      <c r="I298" s="30"/>
      <c r="K298" s="249"/>
    </row>
    <row r="299" spans="1:10" s="3" customFormat="1" ht="15.75">
      <c r="A299" s="47" t="s">
        <v>18</v>
      </c>
      <c r="B299" s="89" t="s">
        <v>202</v>
      </c>
      <c r="C299" s="38" t="s">
        <v>122</v>
      </c>
      <c r="D299" s="38" t="s">
        <v>115</v>
      </c>
      <c r="E299" s="38" t="s">
        <v>133</v>
      </c>
      <c r="F299" s="37"/>
      <c r="G299" s="69"/>
      <c r="H299" s="122">
        <f>H301+H300</f>
        <v>64783.3</v>
      </c>
      <c r="I299" s="30">
        <f>I301</f>
        <v>970</v>
      </c>
      <c r="J299"/>
    </row>
    <row r="300" spans="1:10" s="3" customFormat="1" ht="15.75">
      <c r="A300" s="115" t="s">
        <v>103</v>
      </c>
      <c r="B300" s="89" t="s">
        <v>202</v>
      </c>
      <c r="C300" s="38" t="s">
        <v>122</v>
      </c>
      <c r="D300" s="38" t="s">
        <v>115</v>
      </c>
      <c r="E300" s="38" t="s">
        <v>133</v>
      </c>
      <c r="F300" s="37"/>
      <c r="G300" s="69" t="s">
        <v>56</v>
      </c>
      <c r="H300" s="122">
        <v>441.3</v>
      </c>
      <c r="I300" s="30"/>
      <c r="J300"/>
    </row>
    <row r="301" spans="1:13" ht="15.75">
      <c r="A301" s="185" t="s">
        <v>155</v>
      </c>
      <c r="B301" s="141" t="s">
        <v>202</v>
      </c>
      <c r="C301" s="138" t="s">
        <v>122</v>
      </c>
      <c r="D301" s="138" t="s">
        <v>115</v>
      </c>
      <c r="E301" s="138" t="s">
        <v>133</v>
      </c>
      <c r="F301" s="139"/>
      <c r="G301" s="142" t="s">
        <v>156</v>
      </c>
      <c r="H301" s="190">
        <f>63372+305321+16519-305321-16519-1195.7+330+330+70+90+150+1195.7</f>
        <v>64342</v>
      </c>
      <c r="I301" s="66">
        <f>330+330+70+90+150</f>
        <v>970</v>
      </c>
      <c r="M301" s="249"/>
    </row>
    <row r="302" spans="1:9" ht="15.75">
      <c r="A302" s="115" t="s">
        <v>21</v>
      </c>
      <c r="B302" s="84" t="s">
        <v>202</v>
      </c>
      <c r="C302" s="29" t="s">
        <v>122</v>
      </c>
      <c r="D302" s="29" t="s">
        <v>115</v>
      </c>
      <c r="E302" s="29" t="s">
        <v>22</v>
      </c>
      <c r="F302" s="28"/>
      <c r="G302" s="69"/>
      <c r="H302" s="122">
        <f>H303+H305</f>
        <v>77856.2</v>
      </c>
      <c r="I302" s="30">
        <f>I303+I305</f>
        <v>50</v>
      </c>
    </row>
    <row r="303" spans="1:9" ht="15.75">
      <c r="A303" s="184" t="s">
        <v>237</v>
      </c>
      <c r="B303" s="67" t="s">
        <v>202</v>
      </c>
      <c r="C303" s="63" t="s">
        <v>122</v>
      </c>
      <c r="D303" s="63" t="s">
        <v>115</v>
      </c>
      <c r="E303" s="63" t="s">
        <v>241</v>
      </c>
      <c r="F303" s="43"/>
      <c r="G303" s="87"/>
      <c r="H303" s="271">
        <f>H304</f>
        <v>224.9</v>
      </c>
      <c r="I303" s="68">
        <f>I304</f>
        <v>0</v>
      </c>
    </row>
    <row r="304" spans="1:9" ht="15.75">
      <c r="A304" s="185" t="s">
        <v>155</v>
      </c>
      <c r="B304" s="84" t="s">
        <v>202</v>
      </c>
      <c r="C304" s="29" t="s">
        <v>122</v>
      </c>
      <c r="D304" s="29" t="s">
        <v>115</v>
      </c>
      <c r="E304" s="29" t="s">
        <v>241</v>
      </c>
      <c r="F304" s="28"/>
      <c r="G304" s="69" t="s">
        <v>156</v>
      </c>
      <c r="H304" s="122">
        <v>224.9</v>
      </c>
      <c r="I304" s="30"/>
    </row>
    <row r="305" spans="1:9" ht="15.75">
      <c r="A305" s="109" t="s">
        <v>18</v>
      </c>
      <c r="B305" s="84" t="s">
        <v>202</v>
      </c>
      <c r="C305" s="29" t="s">
        <v>122</v>
      </c>
      <c r="D305" s="29" t="s">
        <v>115</v>
      </c>
      <c r="E305" s="29" t="s">
        <v>134</v>
      </c>
      <c r="F305" s="28"/>
      <c r="G305" s="69"/>
      <c r="H305" s="122">
        <f>H307+H306</f>
        <v>77631.3</v>
      </c>
      <c r="I305" s="30">
        <f>I307</f>
        <v>50</v>
      </c>
    </row>
    <row r="306" spans="1:9" ht="15.75">
      <c r="A306" s="115" t="s">
        <v>103</v>
      </c>
      <c r="B306" s="67" t="s">
        <v>202</v>
      </c>
      <c r="C306" s="49" t="s">
        <v>122</v>
      </c>
      <c r="D306" s="49" t="s">
        <v>115</v>
      </c>
      <c r="E306" s="63" t="s">
        <v>134</v>
      </c>
      <c r="F306" s="43"/>
      <c r="G306" s="92" t="s">
        <v>56</v>
      </c>
      <c r="H306" s="121">
        <v>31.7</v>
      </c>
      <c r="I306" s="68"/>
    </row>
    <row r="307" spans="1:9" ht="15.75">
      <c r="A307" s="185" t="s">
        <v>155</v>
      </c>
      <c r="B307" s="89" t="s">
        <v>202</v>
      </c>
      <c r="C307" s="29" t="s">
        <v>122</v>
      </c>
      <c r="D307" s="29" t="s">
        <v>115</v>
      </c>
      <c r="E307" s="38" t="s">
        <v>134</v>
      </c>
      <c r="F307" s="43"/>
      <c r="G307" s="69" t="s">
        <v>156</v>
      </c>
      <c r="H307" s="122">
        <f>77549.6+50</f>
        <v>77599.6</v>
      </c>
      <c r="I307" s="30">
        <v>50</v>
      </c>
    </row>
    <row r="308" spans="1:9" ht="15.75">
      <c r="A308" s="269" t="s">
        <v>321</v>
      </c>
      <c r="B308" s="89" t="s">
        <v>202</v>
      </c>
      <c r="C308" s="29" t="s">
        <v>122</v>
      </c>
      <c r="D308" s="29" t="s">
        <v>115</v>
      </c>
      <c r="E308" s="38" t="s">
        <v>318</v>
      </c>
      <c r="F308" s="43"/>
      <c r="G308" s="69"/>
      <c r="H308" s="122">
        <f>H309+H312</f>
        <v>27930</v>
      </c>
      <c r="I308" s="30">
        <f>I309+I312</f>
        <v>27930</v>
      </c>
    </row>
    <row r="309" spans="1:9" ht="29.25">
      <c r="A309" s="201" t="s">
        <v>432</v>
      </c>
      <c r="B309" s="89" t="s">
        <v>202</v>
      </c>
      <c r="C309" s="29" t="s">
        <v>122</v>
      </c>
      <c r="D309" s="29" t="s">
        <v>115</v>
      </c>
      <c r="E309" s="38" t="s">
        <v>431</v>
      </c>
      <c r="F309" s="43"/>
      <c r="G309" s="69"/>
      <c r="H309" s="122">
        <f>H310+H311</f>
        <v>263</v>
      </c>
      <c r="I309" s="39">
        <f>I310+I311</f>
        <v>263</v>
      </c>
    </row>
    <row r="310" spans="1:9" ht="15.75">
      <c r="A310" s="269" t="s">
        <v>322</v>
      </c>
      <c r="B310" s="89" t="s">
        <v>202</v>
      </c>
      <c r="C310" s="29" t="s">
        <v>122</v>
      </c>
      <c r="D310" s="29" t="s">
        <v>115</v>
      </c>
      <c r="E310" s="38" t="s">
        <v>431</v>
      </c>
      <c r="F310" s="43"/>
      <c r="G310" s="69" t="s">
        <v>319</v>
      </c>
      <c r="H310" s="122">
        <f>105</f>
        <v>105</v>
      </c>
      <c r="I310" s="30">
        <f>105</f>
        <v>105</v>
      </c>
    </row>
    <row r="311" spans="1:9" ht="15.75">
      <c r="A311" s="269" t="s">
        <v>323</v>
      </c>
      <c r="B311" s="89" t="s">
        <v>202</v>
      </c>
      <c r="C311" s="29" t="s">
        <v>122</v>
      </c>
      <c r="D311" s="29" t="s">
        <v>115</v>
      </c>
      <c r="E311" s="38" t="s">
        <v>431</v>
      </c>
      <c r="F311" s="43"/>
      <c r="G311" s="69" t="s">
        <v>320</v>
      </c>
      <c r="H311" s="122">
        <f>158</f>
        <v>158</v>
      </c>
      <c r="I311" s="30">
        <f>158</f>
        <v>158</v>
      </c>
    </row>
    <row r="312" spans="1:9" ht="15.75">
      <c r="A312" s="140" t="s">
        <v>410</v>
      </c>
      <c r="B312" s="89" t="s">
        <v>202</v>
      </c>
      <c r="C312" s="29" t="s">
        <v>122</v>
      </c>
      <c r="D312" s="29" t="s">
        <v>115</v>
      </c>
      <c r="E312" s="38" t="s">
        <v>409</v>
      </c>
      <c r="F312" s="43"/>
      <c r="G312" s="69"/>
      <c r="H312" s="122">
        <f>H313</f>
        <v>27667</v>
      </c>
      <c r="I312" s="50">
        <f>I313</f>
        <v>27667</v>
      </c>
    </row>
    <row r="313" spans="1:9" ht="15.75">
      <c r="A313" s="186" t="s">
        <v>326</v>
      </c>
      <c r="B313" s="89" t="s">
        <v>202</v>
      </c>
      <c r="C313" s="29" t="s">
        <v>122</v>
      </c>
      <c r="D313" s="29" t="s">
        <v>115</v>
      </c>
      <c r="E313" s="38" t="s">
        <v>409</v>
      </c>
      <c r="F313" s="43"/>
      <c r="G313" s="69" t="s">
        <v>325</v>
      </c>
      <c r="H313" s="122">
        <v>27667</v>
      </c>
      <c r="I313" s="30">
        <v>27667</v>
      </c>
    </row>
    <row r="314" spans="1:9" ht="15.75">
      <c r="A314" s="110" t="s">
        <v>79</v>
      </c>
      <c r="B314" s="89" t="s">
        <v>202</v>
      </c>
      <c r="C314" s="29" t="s">
        <v>122</v>
      </c>
      <c r="D314" s="29" t="s">
        <v>115</v>
      </c>
      <c r="E314" s="38" t="s">
        <v>63</v>
      </c>
      <c r="F314" s="43"/>
      <c r="G314" s="69"/>
      <c r="H314" s="122">
        <f>H315+H318</f>
        <v>6765</v>
      </c>
      <c r="I314" s="30">
        <f>I315+I318</f>
        <v>6765</v>
      </c>
    </row>
    <row r="315" spans="1:9" ht="29.25">
      <c r="A315" s="114" t="s">
        <v>187</v>
      </c>
      <c r="B315" s="89" t="s">
        <v>202</v>
      </c>
      <c r="C315" s="29" t="s">
        <v>122</v>
      </c>
      <c r="D315" s="29" t="s">
        <v>115</v>
      </c>
      <c r="E315" s="38" t="s">
        <v>188</v>
      </c>
      <c r="F315" s="43"/>
      <c r="G315" s="69"/>
      <c r="H315" s="122">
        <f>H316+H317</f>
        <v>4765</v>
      </c>
      <c r="I315" s="30">
        <f>I316+I317</f>
        <v>4765</v>
      </c>
    </row>
    <row r="316" spans="1:9" ht="15.75">
      <c r="A316" s="269" t="s">
        <v>322</v>
      </c>
      <c r="B316" s="135" t="s">
        <v>202</v>
      </c>
      <c r="C316" s="138" t="s">
        <v>122</v>
      </c>
      <c r="D316" s="136" t="s">
        <v>115</v>
      </c>
      <c r="E316" s="136" t="s">
        <v>188</v>
      </c>
      <c r="F316" s="143"/>
      <c r="G316" s="142" t="s">
        <v>319</v>
      </c>
      <c r="H316" s="190">
        <v>822.2</v>
      </c>
      <c r="I316" s="144">
        <v>822.2</v>
      </c>
    </row>
    <row r="317" spans="1:9" ht="15.75">
      <c r="A317" s="140" t="s">
        <v>323</v>
      </c>
      <c r="B317" s="135" t="s">
        <v>202</v>
      </c>
      <c r="C317" s="138" t="s">
        <v>122</v>
      </c>
      <c r="D317" s="136" t="s">
        <v>115</v>
      </c>
      <c r="E317" s="136" t="s">
        <v>188</v>
      </c>
      <c r="F317" s="143"/>
      <c r="G317" s="270" t="s">
        <v>320</v>
      </c>
      <c r="H317" s="273">
        <f>3864.8+78</f>
        <v>3942.8</v>
      </c>
      <c r="I317" s="66">
        <f>3864.8+78</f>
        <v>3942.8</v>
      </c>
    </row>
    <row r="318" spans="1:9" ht="15.75">
      <c r="A318" s="113" t="s">
        <v>228</v>
      </c>
      <c r="B318" s="135" t="s">
        <v>202</v>
      </c>
      <c r="C318" s="138" t="s">
        <v>122</v>
      </c>
      <c r="D318" s="136" t="s">
        <v>115</v>
      </c>
      <c r="E318" s="136" t="s">
        <v>227</v>
      </c>
      <c r="F318" s="143"/>
      <c r="G318" s="270"/>
      <c r="H318" s="190">
        <f>H319+H322</f>
        <v>2000</v>
      </c>
      <c r="I318" s="237">
        <f>I319+I322</f>
        <v>2000</v>
      </c>
    </row>
    <row r="319" spans="1:9" ht="37.5" customHeight="1">
      <c r="A319" s="201" t="s">
        <v>386</v>
      </c>
      <c r="B319" s="135" t="s">
        <v>202</v>
      </c>
      <c r="C319" s="138" t="s">
        <v>122</v>
      </c>
      <c r="D319" s="136" t="s">
        <v>115</v>
      </c>
      <c r="E319" s="136" t="s">
        <v>383</v>
      </c>
      <c r="F319" s="143"/>
      <c r="G319" s="270"/>
      <c r="H319" s="190">
        <f>H320</f>
        <v>1000</v>
      </c>
      <c r="I319" s="66">
        <f>I320</f>
        <v>1000</v>
      </c>
    </row>
    <row r="320" spans="1:9" ht="72">
      <c r="A320" s="201" t="s">
        <v>405</v>
      </c>
      <c r="B320" s="135" t="s">
        <v>202</v>
      </c>
      <c r="C320" s="138" t="s">
        <v>122</v>
      </c>
      <c r="D320" s="136" t="s">
        <v>115</v>
      </c>
      <c r="E320" s="136" t="s">
        <v>404</v>
      </c>
      <c r="F320" s="143"/>
      <c r="G320" s="270"/>
      <c r="H320" s="190">
        <f>H321</f>
        <v>1000</v>
      </c>
      <c r="I320" s="237">
        <f>I321</f>
        <v>1000</v>
      </c>
    </row>
    <row r="321" spans="1:9" ht="15.75">
      <c r="A321" s="269" t="s">
        <v>326</v>
      </c>
      <c r="B321" s="135" t="s">
        <v>202</v>
      </c>
      <c r="C321" s="138" t="s">
        <v>122</v>
      </c>
      <c r="D321" s="136" t="s">
        <v>115</v>
      </c>
      <c r="E321" s="136" t="s">
        <v>404</v>
      </c>
      <c r="F321" s="143"/>
      <c r="G321" s="270" t="s">
        <v>325</v>
      </c>
      <c r="H321" s="190">
        <v>1000</v>
      </c>
      <c r="I321" s="66">
        <v>1000</v>
      </c>
    </row>
    <row r="322" spans="1:9" ht="57.75">
      <c r="A322" s="201" t="s">
        <v>407</v>
      </c>
      <c r="B322" s="135" t="s">
        <v>202</v>
      </c>
      <c r="C322" s="138" t="s">
        <v>122</v>
      </c>
      <c r="D322" s="136" t="s">
        <v>115</v>
      </c>
      <c r="E322" s="136" t="s">
        <v>406</v>
      </c>
      <c r="F322" s="143"/>
      <c r="G322" s="270"/>
      <c r="H322" s="190">
        <f>H323</f>
        <v>1000</v>
      </c>
      <c r="I322" s="66">
        <f>I323</f>
        <v>1000</v>
      </c>
    </row>
    <row r="323" spans="1:9" ht="72">
      <c r="A323" s="201" t="s">
        <v>412</v>
      </c>
      <c r="B323" s="135" t="s">
        <v>202</v>
      </c>
      <c r="C323" s="138" t="s">
        <v>122</v>
      </c>
      <c r="D323" s="136" t="s">
        <v>115</v>
      </c>
      <c r="E323" s="136" t="s">
        <v>408</v>
      </c>
      <c r="F323" s="143"/>
      <c r="G323" s="270"/>
      <c r="H323" s="190">
        <f>H324</f>
        <v>1000</v>
      </c>
      <c r="I323" s="66">
        <f>I324</f>
        <v>1000</v>
      </c>
    </row>
    <row r="324" spans="1:9" ht="15.75">
      <c r="A324" s="269" t="s">
        <v>326</v>
      </c>
      <c r="B324" s="135" t="s">
        <v>202</v>
      </c>
      <c r="C324" s="138" t="s">
        <v>122</v>
      </c>
      <c r="D324" s="136" t="s">
        <v>115</v>
      </c>
      <c r="E324" s="136" t="s">
        <v>408</v>
      </c>
      <c r="F324" s="143"/>
      <c r="G324" s="270" t="s">
        <v>325</v>
      </c>
      <c r="H324" s="190">
        <v>1000</v>
      </c>
      <c r="I324" s="66">
        <v>1000</v>
      </c>
    </row>
    <row r="325" spans="1:9" ht="15.75">
      <c r="A325" s="53" t="s">
        <v>20</v>
      </c>
      <c r="B325" s="280" t="s">
        <v>202</v>
      </c>
      <c r="C325" s="281" t="s">
        <v>122</v>
      </c>
      <c r="D325" s="282"/>
      <c r="E325" s="282"/>
      <c r="F325" s="283"/>
      <c r="G325" s="284"/>
      <c r="H325" s="323">
        <f>H335+H326</f>
        <v>8101</v>
      </c>
      <c r="I325" s="324">
        <f>I335+I326</f>
        <v>4574</v>
      </c>
    </row>
    <row r="326" spans="1:9" ht="23.25" customHeight="1">
      <c r="A326" s="111" t="s">
        <v>379</v>
      </c>
      <c r="B326" s="135" t="s">
        <v>202</v>
      </c>
      <c r="C326" s="239" t="s">
        <v>122</v>
      </c>
      <c r="D326" s="136" t="s">
        <v>122</v>
      </c>
      <c r="E326" s="136"/>
      <c r="F326" s="143"/>
      <c r="G326" s="270"/>
      <c r="H326" s="190">
        <f>H327</f>
        <v>4574</v>
      </c>
      <c r="I326" s="237">
        <f>I327</f>
        <v>4574</v>
      </c>
    </row>
    <row r="327" spans="1:9" ht="20.25" customHeight="1">
      <c r="A327" s="113" t="s">
        <v>228</v>
      </c>
      <c r="B327" s="135" t="s">
        <v>202</v>
      </c>
      <c r="C327" s="239" t="s">
        <v>122</v>
      </c>
      <c r="D327" s="136" t="s">
        <v>122</v>
      </c>
      <c r="E327" s="38" t="s">
        <v>227</v>
      </c>
      <c r="F327" s="143"/>
      <c r="G327" s="270"/>
      <c r="H327" s="273">
        <f>H328</f>
        <v>4574</v>
      </c>
      <c r="I327" s="144">
        <f>I328</f>
        <v>4574</v>
      </c>
    </row>
    <row r="328" spans="1:9" ht="43.5">
      <c r="A328" s="111" t="s">
        <v>420</v>
      </c>
      <c r="B328" s="135" t="s">
        <v>202</v>
      </c>
      <c r="C328" s="239" t="s">
        <v>122</v>
      </c>
      <c r="D328" s="136" t="s">
        <v>122</v>
      </c>
      <c r="E328" s="38" t="s">
        <v>419</v>
      </c>
      <c r="F328" s="143"/>
      <c r="G328" s="270"/>
      <c r="H328" s="190">
        <f>H329</f>
        <v>4574</v>
      </c>
      <c r="I328" s="144">
        <f>I330+I331+I332+I333</f>
        <v>4574</v>
      </c>
    </row>
    <row r="329" spans="1:9" ht="15.75">
      <c r="A329" s="111" t="s">
        <v>379</v>
      </c>
      <c r="B329" s="135" t="s">
        <v>202</v>
      </c>
      <c r="C329" s="239" t="s">
        <v>122</v>
      </c>
      <c r="D329" s="136" t="s">
        <v>122</v>
      </c>
      <c r="E329" s="38" t="s">
        <v>430</v>
      </c>
      <c r="F329" s="143"/>
      <c r="G329" s="270"/>
      <c r="H329" s="190">
        <f>H330+H331+H332+H333</f>
        <v>4574</v>
      </c>
      <c r="I329" s="66">
        <f>I330+I331+I332+I333</f>
        <v>4574</v>
      </c>
    </row>
    <row r="330" spans="1:9" ht="15.75">
      <c r="A330" s="109" t="s">
        <v>326</v>
      </c>
      <c r="B330" s="135" t="s">
        <v>202</v>
      </c>
      <c r="C330" s="239" t="s">
        <v>122</v>
      </c>
      <c r="D330" s="136" t="s">
        <v>122</v>
      </c>
      <c r="E330" s="38" t="s">
        <v>430</v>
      </c>
      <c r="F330" s="143"/>
      <c r="G330" s="270" t="s">
        <v>325</v>
      </c>
      <c r="H330" s="190">
        <f>2364.8-2138.7-156.8-69.3</f>
        <v>3.552713678800501E-13</v>
      </c>
      <c r="I330" s="237">
        <f>2364.8-2138.7-156.8-69.3</f>
        <v>3.552713678800501E-13</v>
      </c>
    </row>
    <row r="331" spans="1:9" ht="29.25">
      <c r="A331" s="114" t="s">
        <v>423</v>
      </c>
      <c r="B331" s="135" t="s">
        <v>202</v>
      </c>
      <c r="C331" s="239" t="s">
        <v>122</v>
      </c>
      <c r="D331" s="136" t="s">
        <v>122</v>
      </c>
      <c r="E331" s="38" t="s">
        <v>430</v>
      </c>
      <c r="F331" s="143"/>
      <c r="G331" s="270" t="s">
        <v>422</v>
      </c>
      <c r="H331" s="190">
        <f>2138.7-1202.1+69.3+120.3</f>
        <v>1126.1999999999998</v>
      </c>
      <c r="I331" s="66">
        <f>2138.7-1202.1+69.3+120.3</f>
        <v>1126.1999999999998</v>
      </c>
    </row>
    <row r="332" spans="1:9" ht="15.75">
      <c r="A332" s="269" t="s">
        <v>322</v>
      </c>
      <c r="B332" s="135" t="s">
        <v>202</v>
      </c>
      <c r="C332" s="239" t="s">
        <v>122</v>
      </c>
      <c r="D332" s="136" t="s">
        <v>122</v>
      </c>
      <c r="E332" s="38" t="s">
        <v>430</v>
      </c>
      <c r="F332" s="143"/>
      <c r="G332" s="270" t="s">
        <v>319</v>
      </c>
      <c r="H332" s="190">
        <f>552.3+156.8-120.3</f>
        <v>588.8</v>
      </c>
      <c r="I332" s="237">
        <f>552.3+156.8-120.3</f>
        <v>588.8</v>
      </c>
    </row>
    <row r="333" spans="1:9" ht="15.75">
      <c r="A333" s="140" t="s">
        <v>323</v>
      </c>
      <c r="B333" s="135" t="s">
        <v>202</v>
      </c>
      <c r="C333" s="239" t="s">
        <v>122</v>
      </c>
      <c r="D333" s="136" t="s">
        <v>122</v>
      </c>
      <c r="E333" s="38" t="s">
        <v>430</v>
      </c>
      <c r="F333" s="143"/>
      <c r="G333" s="270" t="s">
        <v>320</v>
      </c>
      <c r="H333" s="190">
        <f>1656.9+1202.1</f>
        <v>2859</v>
      </c>
      <c r="I333" s="66">
        <f>1656.9+1202.1</f>
        <v>2859</v>
      </c>
    </row>
    <row r="334" spans="1:9" ht="18.75" customHeight="1">
      <c r="A334" s="186" t="s">
        <v>152</v>
      </c>
      <c r="B334" s="135" t="s">
        <v>202</v>
      </c>
      <c r="C334" s="239" t="s">
        <v>122</v>
      </c>
      <c r="D334" s="136" t="s">
        <v>122</v>
      </c>
      <c r="E334" s="38" t="s">
        <v>382</v>
      </c>
      <c r="F334" s="143"/>
      <c r="G334" s="270" t="s">
        <v>158</v>
      </c>
      <c r="H334" s="311">
        <v>4574</v>
      </c>
      <c r="I334" s="237">
        <f>4574</f>
        <v>4574</v>
      </c>
    </row>
    <row r="335" spans="1:9" ht="15.75">
      <c r="A335" s="109" t="s">
        <v>83</v>
      </c>
      <c r="B335" s="89" t="s">
        <v>202</v>
      </c>
      <c r="C335" s="91" t="s">
        <v>122</v>
      </c>
      <c r="D335" s="38" t="s">
        <v>122</v>
      </c>
      <c r="E335" s="38" t="s">
        <v>84</v>
      </c>
      <c r="F335" s="43"/>
      <c r="G335" s="69"/>
      <c r="H335" s="190">
        <f>H336</f>
        <v>3527</v>
      </c>
      <c r="I335" s="66"/>
    </row>
    <row r="336" spans="1:9" ht="29.25">
      <c r="A336" s="168" t="s">
        <v>269</v>
      </c>
      <c r="B336" s="135" t="s">
        <v>202</v>
      </c>
      <c r="C336" s="138" t="s">
        <v>122</v>
      </c>
      <c r="D336" s="136" t="s">
        <v>122</v>
      </c>
      <c r="E336" s="136" t="s">
        <v>265</v>
      </c>
      <c r="F336" s="143"/>
      <c r="G336" s="270"/>
      <c r="H336" s="190">
        <f>H337+H338</f>
        <v>3527</v>
      </c>
      <c r="I336" s="66"/>
    </row>
    <row r="337" spans="1:9" ht="15.75">
      <c r="A337" s="185" t="s">
        <v>155</v>
      </c>
      <c r="B337" s="135" t="s">
        <v>202</v>
      </c>
      <c r="C337" s="138" t="s">
        <v>122</v>
      </c>
      <c r="D337" s="136" t="s">
        <v>122</v>
      </c>
      <c r="E337" s="136" t="s">
        <v>265</v>
      </c>
      <c r="F337" s="143"/>
      <c r="G337" s="270" t="s">
        <v>156</v>
      </c>
      <c r="H337" s="190">
        <f>2140+1100.4</f>
        <v>3240.4</v>
      </c>
      <c r="I337" s="66"/>
    </row>
    <row r="338" spans="1:9" ht="15.75">
      <c r="A338" s="186" t="s">
        <v>152</v>
      </c>
      <c r="B338" s="135" t="s">
        <v>202</v>
      </c>
      <c r="C338" s="138" t="s">
        <v>122</v>
      </c>
      <c r="D338" s="136" t="s">
        <v>122</v>
      </c>
      <c r="E338" s="136" t="s">
        <v>265</v>
      </c>
      <c r="F338" s="143"/>
      <c r="G338" s="270" t="s">
        <v>158</v>
      </c>
      <c r="H338" s="190">
        <v>286.6</v>
      </c>
      <c r="I338" s="66"/>
    </row>
    <row r="339" spans="1:11" ht="15.75">
      <c r="A339" s="53" t="s">
        <v>23</v>
      </c>
      <c r="B339" s="85" t="s">
        <v>202</v>
      </c>
      <c r="C339" s="33" t="s">
        <v>122</v>
      </c>
      <c r="D339" s="33" t="s">
        <v>120</v>
      </c>
      <c r="E339" s="33"/>
      <c r="F339" s="32"/>
      <c r="G339" s="124"/>
      <c r="H339" s="165">
        <f>H340+H343+H345+H352</f>
        <v>109454.8</v>
      </c>
      <c r="I339" s="34">
        <f>I340+I343+I345+I352</f>
        <v>18257.5</v>
      </c>
      <c r="K339" s="108"/>
    </row>
    <row r="340" spans="1:10" s="3" customFormat="1" ht="15.75">
      <c r="A340" s="111" t="s">
        <v>95</v>
      </c>
      <c r="B340" s="84" t="s">
        <v>202</v>
      </c>
      <c r="C340" s="29" t="s">
        <v>122</v>
      </c>
      <c r="D340" s="29" t="s">
        <v>120</v>
      </c>
      <c r="E340" s="29" t="s">
        <v>157</v>
      </c>
      <c r="F340" s="28"/>
      <c r="G340" s="69"/>
      <c r="H340" s="122">
        <f>H341</f>
        <v>13838.4</v>
      </c>
      <c r="I340" s="30"/>
      <c r="J340"/>
    </row>
    <row r="341" spans="1:9" ht="15.75">
      <c r="A341" s="113" t="s">
        <v>37</v>
      </c>
      <c r="B341" s="84" t="s">
        <v>202</v>
      </c>
      <c r="C341" s="29" t="s">
        <v>122</v>
      </c>
      <c r="D341" s="29" t="s">
        <v>120</v>
      </c>
      <c r="E341" s="29" t="s">
        <v>159</v>
      </c>
      <c r="F341" s="28"/>
      <c r="G341" s="69"/>
      <c r="H341" s="122">
        <f>H342</f>
        <v>13838.4</v>
      </c>
      <c r="I341" s="30">
        <f>I342</f>
        <v>0</v>
      </c>
    </row>
    <row r="342" spans="1:9" ht="15.75">
      <c r="A342" s="113" t="s">
        <v>152</v>
      </c>
      <c r="B342" s="84" t="s">
        <v>202</v>
      </c>
      <c r="C342" s="29" t="s">
        <v>122</v>
      </c>
      <c r="D342" s="29" t="s">
        <v>120</v>
      </c>
      <c r="E342" s="29" t="s">
        <v>159</v>
      </c>
      <c r="F342" s="28"/>
      <c r="G342" s="69" t="s">
        <v>158</v>
      </c>
      <c r="H342" s="122">
        <f>10372.8-546.7+3032.1+915.7+64.5</f>
        <v>13838.4</v>
      </c>
      <c r="I342" s="66"/>
    </row>
    <row r="343" spans="1:9" ht="100.5" customHeight="1">
      <c r="A343" s="114" t="s">
        <v>374</v>
      </c>
      <c r="B343" s="89" t="s">
        <v>202</v>
      </c>
      <c r="C343" s="29" t="s">
        <v>122</v>
      </c>
      <c r="D343" s="29" t="s">
        <v>120</v>
      </c>
      <c r="E343" s="38" t="s">
        <v>332</v>
      </c>
      <c r="F343" s="43"/>
      <c r="G343" s="69"/>
      <c r="H343" s="122">
        <f>H344</f>
        <v>17387</v>
      </c>
      <c r="I343" s="30">
        <f>I344</f>
        <v>17387</v>
      </c>
    </row>
    <row r="344" spans="1:9" ht="29.25">
      <c r="A344" s="168" t="s">
        <v>329</v>
      </c>
      <c r="B344" s="84" t="s">
        <v>202</v>
      </c>
      <c r="C344" s="29" t="s">
        <v>122</v>
      </c>
      <c r="D344" s="29" t="s">
        <v>120</v>
      </c>
      <c r="E344" s="38" t="s">
        <v>332</v>
      </c>
      <c r="F344" s="48"/>
      <c r="G344" s="69" t="s">
        <v>328</v>
      </c>
      <c r="H344" s="122">
        <v>17387</v>
      </c>
      <c r="I344" s="39">
        <v>17387</v>
      </c>
    </row>
    <row r="345" spans="1:9" ht="57.75">
      <c r="A345" s="114" t="s">
        <v>73</v>
      </c>
      <c r="B345" s="84" t="s">
        <v>202</v>
      </c>
      <c r="C345" s="29" t="s">
        <v>122</v>
      </c>
      <c r="D345" s="29" t="s">
        <v>120</v>
      </c>
      <c r="E345" s="29" t="s">
        <v>29</v>
      </c>
      <c r="F345" s="28"/>
      <c r="G345" s="69"/>
      <c r="H345" s="190">
        <f>H348+H350+H347</f>
        <v>26547.300000000003</v>
      </c>
      <c r="I345" s="66">
        <f>I348+I350+I347</f>
        <v>870.5</v>
      </c>
    </row>
    <row r="346" spans="1:9" ht="35.25" customHeight="1">
      <c r="A346" s="114" t="s">
        <v>368</v>
      </c>
      <c r="B346" s="84" t="s">
        <v>202</v>
      </c>
      <c r="C346" s="29" t="s">
        <v>122</v>
      </c>
      <c r="D346" s="29" t="s">
        <v>120</v>
      </c>
      <c r="E346" s="29" t="s">
        <v>367</v>
      </c>
      <c r="F346" s="37"/>
      <c r="G346" s="69"/>
      <c r="H346" s="273">
        <f>H347</f>
        <v>870.9</v>
      </c>
      <c r="I346" s="39">
        <f>I347</f>
        <v>870.5</v>
      </c>
    </row>
    <row r="347" spans="1:9" ht="15.75">
      <c r="A347" s="269" t="s">
        <v>322</v>
      </c>
      <c r="B347" s="84" t="s">
        <v>202</v>
      </c>
      <c r="C347" s="29" t="s">
        <v>122</v>
      </c>
      <c r="D347" s="29" t="s">
        <v>120</v>
      </c>
      <c r="E347" s="29" t="s">
        <v>367</v>
      </c>
      <c r="F347" s="37"/>
      <c r="G347" s="69" t="s">
        <v>319</v>
      </c>
      <c r="H347" s="273">
        <f>931+0.4-60.5</f>
        <v>870.9</v>
      </c>
      <c r="I347" s="144">
        <f>931-60.5</f>
        <v>870.5</v>
      </c>
    </row>
    <row r="348" spans="1:9" ht="15.75">
      <c r="A348" s="184" t="s">
        <v>237</v>
      </c>
      <c r="B348" s="84" t="s">
        <v>202</v>
      </c>
      <c r="C348" s="29" t="s">
        <v>122</v>
      </c>
      <c r="D348" s="29" t="s">
        <v>120</v>
      </c>
      <c r="E348" s="29" t="s">
        <v>242</v>
      </c>
      <c r="F348" s="37"/>
      <c r="G348" s="69"/>
      <c r="H348" s="166">
        <f>H349</f>
        <v>450</v>
      </c>
      <c r="I348" s="39">
        <f>I349</f>
        <v>0</v>
      </c>
    </row>
    <row r="349" spans="1:9" ht="15.75">
      <c r="A349" s="185" t="s">
        <v>155</v>
      </c>
      <c r="B349" s="84" t="s">
        <v>202</v>
      </c>
      <c r="C349" s="29" t="s">
        <v>122</v>
      </c>
      <c r="D349" s="29" t="s">
        <v>120</v>
      </c>
      <c r="E349" s="29" t="s">
        <v>242</v>
      </c>
      <c r="F349" s="37"/>
      <c r="G349" s="69" t="s">
        <v>156</v>
      </c>
      <c r="H349" s="166">
        <v>450</v>
      </c>
      <c r="I349" s="39"/>
    </row>
    <row r="350" spans="1:9" ht="15.75">
      <c r="A350" s="109" t="s">
        <v>18</v>
      </c>
      <c r="B350" s="89" t="s">
        <v>202</v>
      </c>
      <c r="C350" s="29" t="s">
        <v>122</v>
      </c>
      <c r="D350" s="29" t="s">
        <v>120</v>
      </c>
      <c r="E350" s="38" t="s">
        <v>135</v>
      </c>
      <c r="F350" s="37"/>
      <c r="G350" s="69"/>
      <c r="H350" s="166">
        <f>H351</f>
        <v>25226.4</v>
      </c>
      <c r="I350" s="39">
        <f>I351</f>
        <v>0</v>
      </c>
    </row>
    <row r="351" spans="1:10" ht="15.75">
      <c r="A351" s="185" t="s">
        <v>155</v>
      </c>
      <c r="B351" s="89" t="s">
        <v>202</v>
      </c>
      <c r="C351" s="29" t="s">
        <v>122</v>
      </c>
      <c r="D351" s="29" t="s">
        <v>120</v>
      </c>
      <c r="E351" s="38" t="s">
        <v>135</v>
      </c>
      <c r="F351" s="37"/>
      <c r="G351" s="69" t="s">
        <v>156</v>
      </c>
      <c r="H351" s="166">
        <f>23726.4+931-931-468+468+1500</f>
        <v>25226.4</v>
      </c>
      <c r="I351" s="144">
        <f>931-931</f>
        <v>0</v>
      </c>
      <c r="J351" s="249"/>
    </row>
    <row r="352" spans="1:9" ht="20.25" customHeight="1">
      <c r="A352" s="109" t="s">
        <v>83</v>
      </c>
      <c r="B352" s="89" t="s">
        <v>202</v>
      </c>
      <c r="C352" s="29" t="s">
        <v>122</v>
      </c>
      <c r="D352" s="29" t="s">
        <v>120</v>
      </c>
      <c r="E352" s="38" t="s">
        <v>84</v>
      </c>
      <c r="F352" s="37"/>
      <c r="G352" s="69"/>
      <c r="H352" s="166">
        <f>H353+H356</f>
        <v>51682.1</v>
      </c>
      <c r="I352" s="39">
        <f>I353</f>
        <v>0</v>
      </c>
    </row>
    <row r="353" spans="1:9" ht="29.25">
      <c r="A353" s="168" t="s">
        <v>269</v>
      </c>
      <c r="B353" s="135" t="s">
        <v>202</v>
      </c>
      <c r="C353" s="138" t="s">
        <v>122</v>
      </c>
      <c r="D353" s="138" t="s">
        <v>120</v>
      </c>
      <c r="E353" s="29" t="s">
        <v>265</v>
      </c>
      <c r="F353" s="137"/>
      <c r="G353" s="142"/>
      <c r="H353" s="273">
        <f>H355+H354</f>
        <v>50416</v>
      </c>
      <c r="I353" s="144">
        <f>I355+I357</f>
        <v>0</v>
      </c>
    </row>
    <row r="354" spans="1:9" ht="15.75">
      <c r="A354" s="185" t="s">
        <v>155</v>
      </c>
      <c r="B354" s="135" t="s">
        <v>202</v>
      </c>
      <c r="C354" s="138" t="s">
        <v>122</v>
      </c>
      <c r="D354" s="138" t="s">
        <v>120</v>
      </c>
      <c r="E354" s="29" t="s">
        <v>265</v>
      </c>
      <c r="F354" s="137"/>
      <c r="G354" s="69" t="s">
        <v>156</v>
      </c>
      <c r="H354" s="273">
        <f>25672-581.9+10000+5000+4000</f>
        <v>44090.1</v>
      </c>
      <c r="I354" s="144"/>
    </row>
    <row r="355" spans="1:9" ht="17.25" customHeight="1">
      <c r="A355" s="186" t="s">
        <v>152</v>
      </c>
      <c r="B355" s="135" t="s">
        <v>202</v>
      </c>
      <c r="C355" s="138" t="s">
        <v>122</v>
      </c>
      <c r="D355" s="138" t="s">
        <v>120</v>
      </c>
      <c r="E355" s="29" t="s">
        <v>265</v>
      </c>
      <c r="F355" s="137"/>
      <c r="G355" s="142" t="s">
        <v>158</v>
      </c>
      <c r="H355" s="273">
        <f>42793-6750-500-600-2140-25672-805.1</f>
        <v>6325.9</v>
      </c>
      <c r="I355" s="134"/>
    </row>
    <row r="356" spans="1:9" ht="46.5" customHeight="1">
      <c r="A356" s="111" t="s">
        <v>231</v>
      </c>
      <c r="B356" s="89" t="s">
        <v>202</v>
      </c>
      <c r="C356" s="29" t="s">
        <v>122</v>
      </c>
      <c r="D356" s="29" t="s">
        <v>120</v>
      </c>
      <c r="E356" s="29" t="s">
        <v>136</v>
      </c>
      <c r="F356" s="90"/>
      <c r="G356" s="69"/>
      <c r="H356" s="122">
        <f>H357</f>
        <v>1266.1</v>
      </c>
      <c r="I356" s="47"/>
    </row>
    <row r="357" spans="1:9" ht="17.25" customHeight="1">
      <c r="A357" s="109" t="s">
        <v>94</v>
      </c>
      <c r="B357" s="84" t="s">
        <v>202</v>
      </c>
      <c r="C357" s="29" t="s">
        <v>122</v>
      </c>
      <c r="D357" s="29" t="s">
        <v>120</v>
      </c>
      <c r="E357" s="29" t="s">
        <v>136</v>
      </c>
      <c r="F357" s="90"/>
      <c r="G357" s="88" t="s">
        <v>158</v>
      </c>
      <c r="H357" s="122">
        <f>2431.8+2157.2-3032.1-915.7+624.9</f>
        <v>1266.1</v>
      </c>
      <c r="I357" s="47"/>
    </row>
    <row r="358" spans="1:11" ht="15.75">
      <c r="A358" s="53" t="s">
        <v>3</v>
      </c>
      <c r="B358" s="85" t="s">
        <v>202</v>
      </c>
      <c r="C358" s="33" t="s">
        <v>121</v>
      </c>
      <c r="D358" s="33"/>
      <c r="E358" s="33"/>
      <c r="F358" s="32"/>
      <c r="G358" s="124"/>
      <c r="H358" s="165">
        <f>H359+H363</f>
        <v>13182.5</v>
      </c>
      <c r="I358" s="34">
        <f aca="true" t="shared" si="11" ref="H358:I361">I359</f>
        <v>12170.5</v>
      </c>
      <c r="K358" s="108"/>
    </row>
    <row r="359" spans="1:9" ht="15.75">
      <c r="A359" s="53" t="s">
        <v>169</v>
      </c>
      <c r="B359" s="85" t="s">
        <v>202</v>
      </c>
      <c r="C359" s="33" t="s">
        <v>121</v>
      </c>
      <c r="D359" s="33" t="s">
        <v>116</v>
      </c>
      <c r="E359" s="33"/>
      <c r="F359" s="32"/>
      <c r="G359" s="124"/>
      <c r="H359" s="165">
        <f t="shared" si="11"/>
        <v>12170.5</v>
      </c>
      <c r="I359" s="34">
        <f t="shared" si="11"/>
        <v>12170.5</v>
      </c>
    </row>
    <row r="360" spans="1:9" ht="15.75">
      <c r="A360" s="113" t="s">
        <v>79</v>
      </c>
      <c r="B360" s="84" t="s">
        <v>202</v>
      </c>
      <c r="C360" s="29" t="s">
        <v>121</v>
      </c>
      <c r="D360" s="29" t="s">
        <v>116</v>
      </c>
      <c r="E360" s="29" t="s">
        <v>63</v>
      </c>
      <c r="F360" s="75"/>
      <c r="G360" s="69"/>
      <c r="H360" s="122">
        <f t="shared" si="11"/>
        <v>12170.5</v>
      </c>
      <c r="I360" s="39">
        <f t="shared" si="11"/>
        <v>12170.5</v>
      </c>
    </row>
    <row r="361" spans="1:9" ht="62.25" customHeight="1">
      <c r="A361" s="112" t="s">
        <v>427</v>
      </c>
      <c r="B361" s="84" t="s">
        <v>202</v>
      </c>
      <c r="C361" s="29" t="s">
        <v>121</v>
      </c>
      <c r="D361" s="29" t="s">
        <v>116</v>
      </c>
      <c r="E361" s="29" t="s">
        <v>426</v>
      </c>
      <c r="F361" s="75"/>
      <c r="G361" s="69"/>
      <c r="H361" s="122">
        <f t="shared" si="11"/>
        <v>12170.5</v>
      </c>
      <c r="I361" s="30">
        <f t="shared" si="11"/>
        <v>12170.5</v>
      </c>
    </row>
    <row r="362" spans="1:10" s="9" customFormat="1" ht="32.25" customHeight="1">
      <c r="A362" s="111" t="s">
        <v>423</v>
      </c>
      <c r="B362" s="84" t="s">
        <v>202</v>
      </c>
      <c r="C362" s="29" t="s">
        <v>121</v>
      </c>
      <c r="D362" s="29" t="s">
        <v>116</v>
      </c>
      <c r="E362" s="29" t="s">
        <v>426</v>
      </c>
      <c r="F362" s="75"/>
      <c r="G362" s="88" t="s">
        <v>422</v>
      </c>
      <c r="H362" s="122">
        <f>12110+60.5</f>
        <v>12170.5</v>
      </c>
      <c r="I362" s="30">
        <f>12110+60.5</f>
        <v>12170.5</v>
      </c>
      <c r="J362"/>
    </row>
    <row r="363" spans="1:10" s="9" customFormat="1" ht="15.75">
      <c r="A363" s="53" t="s">
        <v>82</v>
      </c>
      <c r="B363" s="85" t="s">
        <v>202</v>
      </c>
      <c r="C363" s="59" t="s">
        <v>121</v>
      </c>
      <c r="D363" s="33" t="s">
        <v>130</v>
      </c>
      <c r="E363" s="29"/>
      <c r="F363" s="28"/>
      <c r="G363" s="56"/>
      <c r="H363" s="122">
        <f>H364</f>
        <v>1012</v>
      </c>
      <c r="I363" s="66"/>
      <c r="J363"/>
    </row>
    <row r="364" spans="1:10" s="9" customFormat="1" ht="43.5">
      <c r="A364" s="160" t="s">
        <v>249</v>
      </c>
      <c r="B364" s="84" t="s">
        <v>202</v>
      </c>
      <c r="C364" s="49" t="s">
        <v>121</v>
      </c>
      <c r="D364" s="49" t="s">
        <v>130</v>
      </c>
      <c r="E364" s="29" t="s">
        <v>151</v>
      </c>
      <c r="F364" s="28" t="s">
        <v>36</v>
      </c>
      <c r="G364" s="133"/>
      <c r="H364" s="122">
        <f>H365</f>
        <v>1012</v>
      </c>
      <c r="I364" s="66"/>
      <c r="J364"/>
    </row>
    <row r="365" spans="1:10" s="9" customFormat="1" ht="16.5" thickBot="1">
      <c r="A365" s="307" t="s">
        <v>94</v>
      </c>
      <c r="B365" s="290" t="s">
        <v>202</v>
      </c>
      <c r="C365" s="337" t="s">
        <v>121</v>
      </c>
      <c r="D365" s="337" t="s">
        <v>130</v>
      </c>
      <c r="E365" s="292" t="s">
        <v>151</v>
      </c>
      <c r="F365" s="338"/>
      <c r="G365" s="339" t="s">
        <v>158</v>
      </c>
      <c r="H365" s="340">
        <f>300+712</f>
        <v>1012</v>
      </c>
      <c r="I365" s="341"/>
      <c r="J365"/>
    </row>
    <row r="366" spans="1:10" s="9" customFormat="1" ht="60.75" customHeight="1" thickBot="1">
      <c r="A366" s="232" t="s">
        <v>276</v>
      </c>
      <c r="B366" s="80" t="s">
        <v>203</v>
      </c>
      <c r="C366" s="80"/>
      <c r="D366" s="22"/>
      <c r="E366" s="22"/>
      <c r="F366" s="20"/>
      <c r="G366" s="98"/>
      <c r="H366" s="120">
        <f>H367+H392+H441</f>
        <v>151923.5</v>
      </c>
      <c r="I366" s="23">
        <f>I367+I392+I441</f>
        <v>4855</v>
      </c>
      <c r="J366"/>
    </row>
    <row r="367" spans="1:10" s="9" customFormat="1" ht="15.75">
      <c r="A367" s="15" t="s">
        <v>4</v>
      </c>
      <c r="B367" s="82" t="s">
        <v>203</v>
      </c>
      <c r="C367" s="82" t="s">
        <v>122</v>
      </c>
      <c r="D367" s="59"/>
      <c r="E367" s="73"/>
      <c r="F367" s="72"/>
      <c r="G367" s="178"/>
      <c r="H367" s="263">
        <f>H368+H376</f>
        <v>47462.8</v>
      </c>
      <c r="I367" s="61">
        <f>I368+I376</f>
        <v>4384</v>
      </c>
      <c r="J367"/>
    </row>
    <row r="368" spans="1:10" s="9" customFormat="1" ht="15.75">
      <c r="A368" s="15" t="s">
        <v>7</v>
      </c>
      <c r="B368" s="82" t="s">
        <v>203</v>
      </c>
      <c r="C368" s="85" t="s">
        <v>122</v>
      </c>
      <c r="D368" s="59" t="s">
        <v>115</v>
      </c>
      <c r="E368" s="33"/>
      <c r="F368" s="32"/>
      <c r="G368" s="99"/>
      <c r="H368" s="263">
        <f>H369</f>
        <v>29876.500000000004</v>
      </c>
      <c r="I368" s="61">
        <f>I369</f>
        <v>210</v>
      </c>
      <c r="J368"/>
    </row>
    <row r="369" spans="1:10" s="9" customFormat="1" ht="15.75">
      <c r="A369" s="109" t="s">
        <v>21</v>
      </c>
      <c r="B369" s="84" t="s">
        <v>203</v>
      </c>
      <c r="C369" s="84" t="s">
        <v>122</v>
      </c>
      <c r="D369" s="29" t="s">
        <v>115</v>
      </c>
      <c r="E369" s="29" t="s">
        <v>22</v>
      </c>
      <c r="F369" s="28"/>
      <c r="G369" s="69"/>
      <c r="H369" s="122">
        <f>H370+H373</f>
        <v>29876.500000000004</v>
      </c>
      <c r="I369" s="30">
        <f>I370+I373</f>
        <v>210</v>
      </c>
      <c r="J369"/>
    </row>
    <row r="370" spans="1:10" s="9" customFormat="1" ht="15.75">
      <c r="A370" s="184" t="s">
        <v>237</v>
      </c>
      <c r="B370" s="84" t="s">
        <v>203</v>
      </c>
      <c r="C370" s="84" t="s">
        <v>122</v>
      </c>
      <c r="D370" s="29" t="s">
        <v>115</v>
      </c>
      <c r="E370" s="29" t="s">
        <v>241</v>
      </c>
      <c r="F370" s="28"/>
      <c r="G370" s="69"/>
      <c r="H370" s="122">
        <f>H372+H371</f>
        <v>307.8</v>
      </c>
      <c r="I370" s="30">
        <f>I372</f>
        <v>0</v>
      </c>
      <c r="J370"/>
    </row>
    <row r="371" spans="1:11" s="9" customFormat="1" ht="15.75">
      <c r="A371" s="115" t="s">
        <v>103</v>
      </c>
      <c r="B371" s="67" t="s">
        <v>203</v>
      </c>
      <c r="C371" s="67" t="s">
        <v>122</v>
      </c>
      <c r="D371" s="63" t="s">
        <v>115</v>
      </c>
      <c r="E371" s="63" t="s">
        <v>241</v>
      </c>
      <c r="F371" s="43"/>
      <c r="G371" s="87" t="s">
        <v>56</v>
      </c>
      <c r="H371" s="271">
        <f>1.2-1.2</f>
        <v>0</v>
      </c>
      <c r="I371" s="68"/>
      <c r="J371"/>
      <c r="K371"/>
    </row>
    <row r="372" spans="1:10" s="9" customFormat="1" ht="15.75">
      <c r="A372" s="109" t="s">
        <v>155</v>
      </c>
      <c r="B372" s="84" t="s">
        <v>203</v>
      </c>
      <c r="C372" s="84" t="s">
        <v>122</v>
      </c>
      <c r="D372" s="29" t="s">
        <v>115</v>
      </c>
      <c r="E372" s="29" t="s">
        <v>241</v>
      </c>
      <c r="F372" s="28"/>
      <c r="G372" s="69" t="s">
        <v>156</v>
      </c>
      <c r="H372" s="122">
        <f>302.5+4.1+1.2</f>
        <v>307.8</v>
      </c>
      <c r="I372" s="30"/>
      <c r="J372"/>
    </row>
    <row r="373" spans="1:9" ht="15.75">
      <c r="A373" s="109" t="s">
        <v>18</v>
      </c>
      <c r="B373" s="84" t="s">
        <v>203</v>
      </c>
      <c r="C373" s="84" t="s">
        <v>122</v>
      </c>
      <c r="D373" s="29" t="s">
        <v>115</v>
      </c>
      <c r="E373" s="29" t="s">
        <v>134</v>
      </c>
      <c r="F373" s="28"/>
      <c r="G373" s="69"/>
      <c r="H373" s="122">
        <f>H375+H374</f>
        <v>29568.700000000004</v>
      </c>
      <c r="I373" s="30">
        <f>I375</f>
        <v>210</v>
      </c>
    </row>
    <row r="374" spans="1:9" ht="15.75">
      <c r="A374" s="115" t="s">
        <v>103</v>
      </c>
      <c r="B374" s="67" t="s">
        <v>203</v>
      </c>
      <c r="C374" s="91" t="s">
        <v>122</v>
      </c>
      <c r="D374" s="49" t="s">
        <v>115</v>
      </c>
      <c r="E374" s="63" t="s">
        <v>134</v>
      </c>
      <c r="F374" s="43"/>
      <c r="G374" s="92" t="s">
        <v>56</v>
      </c>
      <c r="H374" s="271">
        <f>2.9</f>
        <v>2.9</v>
      </c>
      <c r="I374" s="68"/>
    </row>
    <row r="375" spans="1:9" ht="15.75">
      <c r="A375" s="109" t="s">
        <v>155</v>
      </c>
      <c r="B375" s="89" t="s">
        <v>203</v>
      </c>
      <c r="C375" s="84" t="s">
        <v>122</v>
      </c>
      <c r="D375" s="49" t="s">
        <v>115</v>
      </c>
      <c r="E375" s="38" t="s">
        <v>134</v>
      </c>
      <c r="F375" s="43"/>
      <c r="G375" s="58" t="s">
        <v>156</v>
      </c>
      <c r="H375" s="166">
        <f>2426.4+25481.2+518+550.2+110+100+380</f>
        <v>29565.800000000003</v>
      </c>
      <c r="I375" s="39">
        <f>110+100</f>
        <v>210</v>
      </c>
    </row>
    <row r="376" spans="1:9" ht="15.75">
      <c r="A376" s="53" t="s">
        <v>20</v>
      </c>
      <c r="B376" s="85" t="s">
        <v>203</v>
      </c>
      <c r="C376" s="82" t="s">
        <v>122</v>
      </c>
      <c r="D376" s="33" t="s">
        <v>122</v>
      </c>
      <c r="E376" s="33"/>
      <c r="F376" s="32"/>
      <c r="G376" s="86"/>
      <c r="H376" s="165">
        <f>H377+H385</f>
        <v>17586.3</v>
      </c>
      <c r="I376" s="34">
        <f>I377+I385</f>
        <v>4174</v>
      </c>
    </row>
    <row r="377" spans="1:9" ht="15.75">
      <c r="A377" s="53" t="s">
        <v>60</v>
      </c>
      <c r="B377" s="85" t="s">
        <v>203</v>
      </c>
      <c r="C377" s="82" t="s">
        <v>122</v>
      </c>
      <c r="D377" s="33" t="s">
        <v>122</v>
      </c>
      <c r="E377" s="33" t="s">
        <v>61</v>
      </c>
      <c r="F377" s="32"/>
      <c r="G377" s="86"/>
      <c r="H377" s="165">
        <f>H383+H380+H378</f>
        <v>8284.599999999999</v>
      </c>
      <c r="I377" s="34">
        <f>I383+I380+I378</f>
        <v>4174</v>
      </c>
    </row>
    <row r="378" spans="1:9" ht="43.5">
      <c r="A378" s="111" t="s">
        <v>435</v>
      </c>
      <c r="B378" s="84" t="s">
        <v>203</v>
      </c>
      <c r="C378" s="91" t="s">
        <v>122</v>
      </c>
      <c r="D378" s="29" t="s">
        <v>122</v>
      </c>
      <c r="E378" s="29" t="s">
        <v>402</v>
      </c>
      <c r="F378" s="32"/>
      <c r="G378" s="86"/>
      <c r="H378" s="122">
        <f>H379</f>
        <v>4174</v>
      </c>
      <c r="I378" s="30">
        <f>I379</f>
        <v>4174</v>
      </c>
    </row>
    <row r="379" spans="1:9" ht="43.5">
      <c r="A379" s="201" t="s">
        <v>436</v>
      </c>
      <c r="B379" s="84" t="s">
        <v>203</v>
      </c>
      <c r="C379" s="91" t="s">
        <v>122</v>
      </c>
      <c r="D379" s="29" t="s">
        <v>122</v>
      </c>
      <c r="E379" s="29" t="s">
        <v>402</v>
      </c>
      <c r="F379" s="32"/>
      <c r="G379" s="69" t="s">
        <v>403</v>
      </c>
      <c r="H379" s="122">
        <v>4174</v>
      </c>
      <c r="I379" s="30">
        <v>4174</v>
      </c>
    </row>
    <row r="380" spans="1:9" ht="15.75">
      <c r="A380" s="184" t="s">
        <v>237</v>
      </c>
      <c r="B380" s="84" t="s">
        <v>203</v>
      </c>
      <c r="C380" s="91" t="s">
        <v>122</v>
      </c>
      <c r="D380" s="29" t="s">
        <v>122</v>
      </c>
      <c r="E380" s="29" t="s">
        <v>248</v>
      </c>
      <c r="F380" s="28"/>
      <c r="G380" s="69"/>
      <c r="H380" s="122">
        <f>H382+H381</f>
        <v>4.8999999999999995</v>
      </c>
      <c r="I380" s="30">
        <f>I382</f>
        <v>0</v>
      </c>
    </row>
    <row r="381" spans="1:9" ht="15.75">
      <c r="A381" s="115" t="s">
        <v>103</v>
      </c>
      <c r="B381" s="84" t="s">
        <v>203</v>
      </c>
      <c r="C381" s="91" t="s">
        <v>122</v>
      </c>
      <c r="D381" s="29" t="s">
        <v>122</v>
      </c>
      <c r="E381" s="29" t="s">
        <v>248</v>
      </c>
      <c r="F381" s="28"/>
      <c r="G381" s="69" t="s">
        <v>56</v>
      </c>
      <c r="H381" s="122">
        <f>0.6-0.6</f>
        <v>0</v>
      </c>
      <c r="I381" s="30"/>
    </row>
    <row r="382" spans="1:9" ht="15.75">
      <c r="A382" s="109" t="s">
        <v>155</v>
      </c>
      <c r="B382" s="84" t="s">
        <v>203</v>
      </c>
      <c r="C382" s="91" t="s">
        <v>122</v>
      </c>
      <c r="D382" s="29" t="s">
        <v>122</v>
      </c>
      <c r="E382" s="29" t="s">
        <v>248</v>
      </c>
      <c r="F382" s="28"/>
      <c r="G382" s="69" t="s">
        <v>156</v>
      </c>
      <c r="H382" s="122">
        <f>4.3+0.6</f>
        <v>4.8999999999999995</v>
      </c>
      <c r="I382" s="30"/>
    </row>
    <row r="383" spans="1:9" ht="15.75">
      <c r="A383" s="110" t="s">
        <v>18</v>
      </c>
      <c r="B383" s="84" t="s">
        <v>203</v>
      </c>
      <c r="C383" s="91" t="s">
        <v>122</v>
      </c>
      <c r="D383" s="29" t="s">
        <v>122</v>
      </c>
      <c r="E383" s="29" t="s">
        <v>184</v>
      </c>
      <c r="F383" s="28"/>
      <c r="G383" s="69"/>
      <c r="H383" s="122">
        <f>H384</f>
        <v>4105.7</v>
      </c>
      <c r="I383" s="30">
        <f>I384</f>
        <v>0</v>
      </c>
    </row>
    <row r="384" spans="1:9" ht="15.75">
      <c r="A384" s="109" t="s">
        <v>155</v>
      </c>
      <c r="B384" s="141" t="s">
        <v>203</v>
      </c>
      <c r="C384" s="239" t="s">
        <v>122</v>
      </c>
      <c r="D384" s="138" t="s">
        <v>122</v>
      </c>
      <c r="E384" s="138" t="s">
        <v>184</v>
      </c>
      <c r="F384" s="139" t="s">
        <v>11</v>
      </c>
      <c r="G384" s="145" t="s">
        <v>156</v>
      </c>
      <c r="H384" s="190">
        <f>2521.1+1584.6-518-1306-942+42+2724</f>
        <v>4105.7</v>
      </c>
      <c r="I384" s="66"/>
    </row>
    <row r="385" spans="1:9" ht="15.75">
      <c r="A385" s="53" t="s">
        <v>83</v>
      </c>
      <c r="B385" s="96" t="s">
        <v>203</v>
      </c>
      <c r="C385" s="82" t="s">
        <v>122</v>
      </c>
      <c r="D385" s="64" t="s">
        <v>122</v>
      </c>
      <c r="E385" s="64" t="s">
        <v>84</v>
      </c>
      <c r="F385" s="72"/>
      <c r="G385" s="86"/>
      <c r="H385" s="165">
        <f>H386+H389</f>
        <v>9301.7</v>
      </c>
      <c r="I385" s="34">
        <f>I386</f>
        <v>0</v>
      </c>
    </row>
    <row r="386" spans="1:9" ht="29.25">
      <c r="A386" s="223" t="s">
        <v>216</v>
      </c>
      <c r="B386" s="89" t="s">
        <v>203</v>
      </c>
      <c r="C386" s="91" t="s">
        <v>122</v>
      </c>
      <c r="D386" s="38" t="s">
        <v>122</v>
      </c>
      <c r="E386" s="29" t="s">
        <v>264</v>
      </c>
      <c r="F386" s="43"/>
      <c r="G386" s="69"/>
      <c r="H386" s="122">
        <f>H387+H388</f>
        <v>8801.7</v>
      </c>
      <c r="I386" s="47"/>
    </row>
    <row r="387" spans="1:9" ht="15.75">
      <c r="A387" s="109" t="s">
        <v>155</v>
      </c>
      <c r="B387" s="89" t="s">
        <v>203</v>
      </c>
      <c r="C387" s="67" t="s">
        <v>122</v>
      </c>
      <c r="D387" s="38" t="s">
        <v>122</v>
      </c>
      <c r="E387" s="29" t="s">
        <v>264</v>
      </c>
      <c r="F387" s="43"/>
      <c r="G387" s="58" t="s">
        <v>156</v>
      </c>
      <c r="H387" s="166">
        <f>550+148.5+7692.7-95.5+124+382-8644.4</f>
        <v>157.3000000000011</v>
      </c>
      <c r="I387" s="47"/>
    </row>
    <row r="388" spans="1:9" ht="15.75">
      <c r="A388" s="307" t="s">
        <v>94</v>
      </c>
      <c r="B388" s="84" t="s">
        <v>203</v>
      </c>
      <c r="C388" s="91" t="s">
        <v>122</v>
      </c>
      <c r="D388" s="29" t="s">
        <v>122</v>
      </c>
      <c r="E388" s="29" t="s">
        <v>264</v>
      </c>
      <c r="F388" s="48"/>
      <c r="G388" s="58" t="s">
        <v>158</v>
      </c>
      <c r="H388" s="122">
        <v>8644.4</v>
      </c>
      <c r="I388" s="118"/>
    </row>
    <row r="389" spans="1:9" ht="29.25">
      <c r="A389" s="236" t="s">
        <v>269</v>
      </c>
      <c r="B389" s="182" t="s">
        <v>203</v>
      </c>
      <c r="C389" s="239" t="s">
        <v>122</v>
      </c>
      <c r="D389" s="309" t="s">
        <v>122</v>
      </c>
      <c r="E389" s="49" t="s">
        <v>265</v>
      </c>
      <c r="F389" s="143"/>
      <c r="G389" s="334"/>
      <c r="H389" s="271">
        <f>H390+H391</f>
        <v>500</v>
      </c>
      <c r="I389" s="127"/>
    </row>
    <row r="390" spans="1:9" ht="15.75">
      <c r="A390" s="109" t="s">
        <v>155</v>
      </c>
      <c r="B390" s="135" t="s">
        <v>203</v>
      </c>
      <c r="C390" s="141" t="s">
        <v>122</v>
      </c>
      <c r="D390" s="138" t="s">
        <v>122</v>
      </c>
      <c r="E390" s="29" t="s">
        <v>265</v>
      </c>
      <c r="F390" s="137"/>
      <c r="G390" s="142" t="s">
        <v>156</v>
      </c>
      <c r="H390" s="122">
        <f>500-189.9+17.9</f>
        <v>328</v>
      </c>
      <c r="I390" s="47"/>
    </row>
    <row r="391" spans="1:9" ht="15.75">
      <c r="A391" s="186" t="s">
        <v>152</v>
      </c>
      <c r="B391" s="135" t="s">
        <v>203</v>
      </c>
      <c r="C391" s="141" t="s">
        <v>122</v>
      </c>
      <c r="D391" s="138" t="s">
        <v>122</v>
      </c>
      <c r="E391" s="29" t="s">
        <v>265</v>
      </c>
      <c r="F391" s="137"/>
      <c r="G391" s="142" t="s">
        <v>158</v>
      </c>
      <c r="H391" s="122">
        <f>189.9-17.9</f>
        <v>172</v>
      </c>
      <c r="I391" s="47"/>
    </row>
    <row r="392" spans="1:9" ht="15.75">
      <c r="A392" s="53" t="s">
        <v>224</v>
      </c>
      <c r="B392" s="85" t="s">
        <v>203</v>
      </c>
      <c r="C392" s="85" t="s">
        <v>123</v>
      </c>
      <c r="D392" s="33"/>
      <c r="E392" s="33"/>
      <c r="F392" s="32"/>
      <c r="G392" s="86"/>
      <c r="H392" s="165">
        <f>H393+H424</f>
        <v>86927.8</v>
      </c>
      <c r="I392" s="34">
        <f>I393+I424</f>
        <v>471</v>
      </c>
    </row>
    <row r="393" spans="1:9" ht="15.75">
      <c r="A393" s="15" t="s">
        <v>24</v>
      </c>
      <c r="B393" s="82" t="s">
        <v>203</v>
      </c>
      <c r="C393" s="82" t="s">
        <v>123</v>
      </c>
      <c r="D393" s="59" t="s">
        <v>114</v>
      </c>
      <c r="E393" s="33"/>
      <c r="F393" s="36"/>
      <c r="G393" s="86"/>
      <c r="H393" s="263">
        <f>H394+H404+H411+H419</f>
        <v>67091.5</v>
      </c>
      <c r="I393" s="83">
        <f>I394+I404+I411+I419</f>
        <v>471</v>
      </c>
    </row>
    <row r="394" spans="1:9" ht="29.25">
      <c r="A394" s="111" t="s">
        <v>232</v>
      </c>
      <c r="B394" s="84" t="s">
        <v>203</v>
      </c>
      <c r="C394" s="91" t="s">
        <v>123</v>
      </c>
      <c r="D394" s="49" t="s">
        <v>114</v>
      </c>
      <c r="E394" s="29" t="s">
        <v>25</v>
      </c>
      <c r="F394" s="28"/>
      <c r="G394" s="69"/>
      <c r="H394" s="122">
        <f>H398+H401+H395</f>
        <v>41688.2</v>
      </c>
      <c r="I394" s="30">
        <f>I398+I401+I395</f>
        <v>275</v>
      </c>
    </row>
    <row r="395" spans="1:9" ht="29.25">
      <c r="A395" s="112" t="s">
        <v>475</v>
      </c>
      <c r="B395" s="84" t="s">
        <v>203</v>
      </c>
      <c r="C395" s="84" t="s">
        <v>123</v>
      </c>
      <c r="D395" s="29" t="s">
        <v>114</v>
      </c>
      <c r="E395" s="29" t="s">
        <v>223</v>
      </c>
      <c r="F395" s="28"/>
      <c r="G395" s="69"/>
      <c r="H395" s="122">
        <f>H396</f>
        <v>225</v>
      </c>
      <c r="I395" s="50">
        <f>I396</f>
        <v>225</v>
      </c>
    </row>
    <row r="396" spans="1:9" ht="15.75">
      <c r="A396" s="112" t="s">
        <v>476</v>
      </c>
      <c r="B396" s="84" t="s">
        <v>203</v>
      </c>
      <c r="C396" s="84" t="s">
        <v>123</v>
      </c>
      <c r="D396" s="29" t="s">
        <v>114</v>
      </c>
      <c r="E396" s="29" t="s">
        <v>223</v>
      </c>
      <c r="F396" s="28"/>
      <c r="G396" s="69"/>
      <c r="H396" s="122">
        <f>H397</f>
        <v>225</v>
      </c>
      <c r="I396" s="30">
        <f>I397</f>
        <v>225</v>
      </c>
    </row>
    <row r="397" spans="1:9" ht="15.75">
      <c r="A397" s="109" t="s">
        <v>370</v>
      </c>
      <c r="B397" s="84" t="s">
        <v>203</v>
      </c>
      <c r="C397" s="84" t="s">
        <v>123</v>
      </c>
      <c r="D397" s="29" t="s">
        <v>114</v>
      </c>
      <c r="E397" s="29" t="s">
        <v>223</v>
      </c>
      <c r="F397" s="28"/>
      <c r="G397" s="58" t="s">
        <v>369</v>
      </c>
      <c r="H397" s="122">
        <f>202+23</f>
        <v>225</v>
      </c>
      <c r="I397" s="30">
        <f>202+23</f>
        <v>225</v>
      </c>
    </row>
    <row r="398" spans="1:9" ht="15.75">
      <c r="A398" s="184" t="s">
        <v>237</v>
      </c>
      <c r="B398" s="84" t="s">
        <v>203</v>
      </c>
      <c r="C398" s="91" t="s">
        <v>123</v>
      </c>
      <c r="D398" s="49" t="s">
        <v>114</v>
      </c>
      <c r="E398" s="29" t="s">
        <v>245</v>
      </c>
      <c r="F398" s="28"/>
      <c r="G398" s="69"/>
      <c r="H398" s="122">
        <f>H400+H399</f>
        <v>4761.099999999999</v>
      </c>
      <c r="I398" s="30">
        <f>I400</f>
        <v>0</v>
      </c>
    </row>
    <row r="399" spans="1:9" ht="15.75">
      <c r="A399" s="115" t="s">
        <v>103</v>
      </c>
      <c r="B399" s="84" t="s">
        <v>203</v>
      </c>
      <c r="C399" s="91" t="s">
        <v>123</v>
      </c>
      <c r="D399" s="49" t="s">
        <v>114</v>
      </c>
      <c r="E399" s="29" t="s">
        <v>245</v>
      </c>
      <c r="F399" s="28"/>
      <c r="G399" s="69" t="s">
        <v>56</v>
      </c>
      <c r="H399" s="122">
        <f>187.7-187.7</f>
        <v>0</v>
      </c>
      <c r="I399" s="30"/>
    </row>
    <row r="400" spans="1:9" ht="15.75">
      <c r="A400" s="109" t="s">
        <v>155</v>
      </c>
      <c r="B400" s="84" t="s">
        <v>203</v>
      </c>
      <c r="C400" s="91" t="s">
        <v>123</v>
      </c>
      <c r="D400" s="49" t="s">
        <v>114</v>
      </c>
      <c r="E400" s="29" t="s">
        <v>245</v>
      </c>
      <c r="F400" s="28"/>
      <c r="G400" s="69" t="s">
        <v>156</v>
      </c>
      <c r="H400" s="122">
        <f>4573.4+187.7</f>
        <v>4761.099999999999</v>
      </c>
      <c r="I400" s="30"/>
    </row>
    <row r="401" spans="1:9" ht="15.75">
      <c r="A401" s="47" t="s">
        <v>18</v>
      </c>
      <c r="B401" s="84" t="s">
        <v>203</v>
      </c>
      <c r="C401" s="91" t="s">
        <v>123</v>
      </c>
      <c r="D401" s="49" t="s">
        <v>114</v>
      </c>
      <c r="E401" s="29" t="s">
        <v>137</v>
      </c>
      <c r="F401" s="28"/>
      <c r="G401" s="69"/>
      <c r="H401" s="122">
        <f>H403+H402</f>
        <v>36702.1</v>
      </c>
      <c r="I401" s="30">
        <f>I403</f>
        <v>50</v>
      </c>
    </row>
    <row r="402" spans="1:9" ht="15.75">
      <c r="A402" s="115" t="s">
        <v>103</v>
      </c>
      <c r="B402" s="84" t="s">
        <v>203</v>
      </c>
      <c r="C402" s="91" t="s">
        <v>123</v>
      </c>
      <c r="D402" s="49" t="s">
        <v>114</v>
      </c>
      <c r="E402" s="29" t="s">
        <v>137</v>
      </c>
      <c r="F402" s="28"/>
      <c r="G402" s="69" t="s">
        <v>56</v>
      </c>
      <c r="H402" s="122">
        <f>7.9+2.3+12.7+15.5+2.2+99.4</f>
        <v>140</v>
      </c>
      <c r="I402" s="30"/>
    </row>
    <row r="403" spans="1:9" ht="15.75">
      <c r="A403" s="109" t="s">
        <v>155</v>
      </c>
      <c r="B403" s="84" t="s">
        <v>203</v>
      </c>
      <c r="C403" s="91" t="s">
        <v>123</v>
      </c>
      <c r="D403" s="49" t="s">
        <v>114</v>
      </c>
      <c r="E403" s="29" t="s">
        <v>137</v>
      </c>
      <c r="F403" s="28"/>
      <c r="G403" s="58" t="s">
        <v>156</v>
      </c>
      <c r="H403" s="122">
        <f>5716.3+3649.1+2736.5+2834.8+2383.1+14.1+18792.6+318-14.1-318+50+399.7</f>
        <v>36562.1</v>
      </c>
      <c r="I403" s="30">
        <v>50</v>
      </c>
    </row>
    <row r="404" spans="1:9" ht="15.75">
      <c r="A404" s="53" t="s">
        <v>9</v>
      </c>
      <c r="B404" s="85" t="s">
        <v>203</v>
      </c>
      <c r="C404" s="82" t="s">
        <v>123</v>
      </c>
      <c r="D404" s="59" t="s">
        <v>114</v>
      </c>
      <c r="E404" s="33" t="s">
        <v>26</v>
      </c>
      <c r="F404" s="32"/>
      <c r="G404" s="86"/>
      <c r="H404" s="165">
        <f>H405+H408</f>
        <v>3892.7000000000003</v>
      </c>
      <c r="I404" s="34">
        <f>I405+I408</f>
        <v>0</v>
      </c>
    </row>
    <row r="405" spans="1:9" ht="15.75">
      <c r="A405" s="184" t="s">
        <v>237</v>
      </c>
      <c r="B405" s="84" t="s">
        <v>203</v>
      </c>
      <c r="C405" s="91" t="s">
        <v>123</v>
      </c>
      <c r="D405" s="49" t="s">
        <v>114</v>
      </c>
      <c r="E405" s="29" t="s">
        <v>246</v>
      </c>
      <c r="F405" s="32"/>
      <c r="G405" s="86"/>
      <c r="H405" s="165">
        <f>H407+H406</f>
        <v>4.3</v>
      </c>
      <c r="I405" s="34">
        <f>I407</f>
        <v>0</v>
      </c>
    </row>
    <row r="406" spans="1:9" ht="15.75">
      <c r="A406" s="115" t="s">
        <v>103</v>
      </c>
      <c r="B406" s="84" t="s">
        <v>203</v>
      </c>
      <c r="C406" s="91" t="s">
        <v>123</v>
      </c>
      <c r="D406" s="49" t="s">
        <v>114</v>
      </c>
      <c r="E406" s="29" t="s">
        <v>246</v>
      </c>
      <c r="F406" s="32"/>
      <c r="G406" s="69" t="s">
        <v>56</v>
      </c>
      <c r="H406" s="122">
        <f>0.5-0.5</f>
        <v>0</v>
      </c>
      <c r="I406" s="34"/>
    </row>
    <row r="407" spans="1:9" ht="15.75">
      <c r="A407" s="109" t="s">
        <v>155</v>
      </c>
      <c r="B407" s="84" t="s">
        <v>203</v>
      </c>
      <c r="C407" s="91" t="s">
        <v>123</v>
      </c>
      <c r="D407" s="49" t="s">
        <v>114</v>
      </c>
      <c r="E407" s="29" t="s">
        <v>246</v>
      </c>
      <c r="F407" s="32"/>
      <c r="G407" s="69" t="s">
        <v>156</v>
      </c>
      <c r="H407" s="122">
        <f>3.8+0.5</f>
        <v>4.3</v>
      </c>
      <c r="I407" s="34"/>
    </row>
    <row r="408" spans="1:9" ht="15.75">
      <c r="A408" s="47" t="s">
        <v>18</v>
      </c>
      <c r="B408" s="84" t="s">
        <v>203</v>
      </c>
      <c r="C408" s="91" t="s">
        <v>123</v>
      </c>
      <c r="D408" s="49" t="s">
        <v>114</v>
      </c>
      <c r="E408" s="29" t="s">
        <v>138</v>
      </c>
      <c r="F408" s="28"/>
      <c r="G408" s="69"/>
      <c r="H408" s="122">
        <f>H410+H409</f>
        <v>3888.4</v>
      </c>
      <c r="I408" s="30">
        <f>I410</f>
        <v>0</v>
      </c>
    </row>
    <row r="409" spans="1:9" ht="15.75">
      <c r="A409" s="115" t="s">
        <v>103</v>
      </c>
      <c r="B409" s="84" t="s">
        <v>203</v>
      </c>
      <c r="C409" s="91" t="s">
        <v>123</v>
      </c>
      <c r="D409" s="49" t="s">
        <v>114</v>
      </c>
      <c r="E409" s="29" t="s">
        <v>138</v>
      </c>
      <c r="F409" s="28"/>
      <c r="G409" s="69" t="s">
        <v>56</v>
      </c>
      <c r="H409" s="122">
        <v>2.1</v>
      </c>
      <c r="I409" s="30"/>
    </row>
    <row r="410" spans="1:9" ht="15.75">
      <c r="A410" s="109" t="s">
        <v>155</v>
      </c>
      <c r="B410" s="84" t="s">
        <v>203</v>
      </c>
      <c r="C410" s="91" t="s">
        <v>123</v>
      </c>
      <c r="D410" s="49" t="s">
        <v>114</v>
      </c>
      <c r="E410" s="29" t="s">
        <v>138</v>
      </c>
      <c r="F410" s="28"/>
      <c r="G410" s="58" t="s">
        <v>156</v>
      </c>
      <c r="H410" s="122">
        <f>3886.3</f>
        <v>3886.3</v>
      </c>
      <c r="I410" s="119"/>
    </row>
    <row r="411" spans="1:10" ht="15.75">
      <c r="A411" s="366" t="s">
        <v>10</v>
      </c>
      <c r="B411" s="367" t="s">
        <v>203</v>
      </c>
      <c r="C411" s="368" t="s">
        <v>123</v>
      </c>
      <c r="D411" s="369" t="s">
        <v>114</v>
      </c>
      <c r="E411" s="370" t="s">
        <v>27</v>
      </c>
      <c r="F411" s="371"/>
      <c r="G411" s="372"/>
      <c r="H411" s="373">
        <f>H414+H416+H412</f>
        <v>10393.6</v>
      </c>
      <c r="I411" s="374">
        <f>I414+I416+I412</f>
        <v>196</v>
      </c>
      <c r="J411" s="375"/>
    </row>
    <row r="412" spans="1:10" ht="43.5">
      <c r="A412" s="297" t="s">
        <v>463</v>
      </c>
      <c r="B412" s="298" t="s">
        <v>203</v>
      </c>
      <c r="C412" s="304" t="s">
        <v>123</v>
      </c>
      <c r="D412" s="291" t="s">
        <v>114</v>
      </c>
      <c r="E412" s="294" t="s">
        <v>464</v>
      </c>
      <c r="F412" s="371"/>
      <c r="G412" s="372"/>
      <c r="H412" s="376">
        <f>H413</f>
        <v>196</v>
      </c>
      <c r="I412" s="302">
        <f>I413</f>
        <v>196</v>
      </c>
      <c r="J412" s="375"/>
    </row>
    <row r="413" spans="1:10" ht="15.75">
      <c r="A413" s="307" t="s">
        <v>370</v>
      </c>
      <c r="B413" s="298" t="s">
        <v>203</v>
      </c>
      <c r="C413" s="304" t="s">
        <v>123</v>
      </c>
      <c r="D413" s="291" t="s">
        <v>114</v>
      </c>
      <c r="E413" s="294" t="s">
        <v>464</v>
      </c>
      <c r="F413" s="371"/>
      <c r="G413" s="377" t="s">
        <v>369</v>
      </c>
      <c r="H413" s="376">
        <f>196</f>
        <v>196</v>
      </c>
      <c r="I413" s="302">
        <f>196</f>
        <v>196</v>
      </c>
      <c r="J413" s="375"/>
    </row>
    <row r="414" spans="1:10" ht="15.75">
      <c r="A414" s="378" t="s">
        <v>237</v>
      </c>
      <c r="B414" s="298" t="s">
        <v>203</v>
      </c>
      <c r="C414" s="304" t="s">
        <v>123</v>
      </c>
      <c r="D414" s="291" t="s">
        <v>114</v>
      </c>
      <c r="E414" s="294" t="s">
        <v>244</v>
      </c>
      <c r="F414" s="299"/>
      <c r="G414" s="377"/>
      <c r="H414" s="376">
        <f>H415</f>
        <v>6</v>
      </c>
      <c r="I414" s="302">
        <f>I415</f>
        <v>0</v>
      </c>
      <c r="J414" s="375"/>
    </row>
    <row r="415" spans="1:10" ht="15.75">
      <c r="A415" s="307" t="s">
        <v>155</v>
      </c>
      <c r="B415" s="298" t="s">
        <v>203</v>
      </c>
      <c r="C415" s="304" t="s">
        <v>123</v>
      </c>
      <c r="D415" s="291" t="s">
        <v>114</v>
      </c>
      <c r="E415" s="294" t="s">
        <v>244</v>
      </c>
      <c r="F415" s="299"/>
      <c r="G415" s="377" t="s">
        <v>156</v>
      </c>
      <c r="H415" s="376">
        <v>6</v>
      </c>
      <c r="I415" s="302"/>
      <c r="J415" s="375"/>
    </row>
    <row r="416" spans="1:10" ht="15.75">
      <c r="A416" s="379" t="s">
        <v>18</v>
      </c>
      <c r="B416" s="298" t="s">
        <v>203</v>
      </c>
      <c r="C416" s="304" t="s">
        <v>123</v>
      </c>
      <c r="D416" s="291" t="s">
        <v>114</v>
      </c>
      <c r="E416" s="294" t="s">
        <v>139</v>
      </c>
      <c r="F416" s="299"/>
      <c r="G416" s="377"/>
      <c r="H416" s="376">
        <f>H418+H417</f>
        <v>10191.6</v>
      </c>
      <c r="I416" s="380">
        <f>I418</f>
        <v>0</v>
      </c>
      <c r="J416" s="375"/>
    </row>
    <row r="417" spans="1:10" ht="15.75">
      <c r="A417" s="381" t="s">
        <v>103</v>
      </c>
      <c r="B417" s="298" t="s">
        <v>203</v>
      </c>
      <c r="C417" s="304" t="s">
        <v>123</v>
      </c>
      <c r="D417" s="291" t="s">
        <v>114</v>
      </c>
      <c r="E417" s="294" t="s">
        <v>139</v>
      </c>
      <c r="F417" s="299"/>
      <c r="G417" s="377" t="s">
        <v>56</v>
      </c>
      <c r="H417" s="376">
        <v>11.4</v>
      </c>
      <c r="I417" s="302"/>
      <c r="J417" s="375"/>
    </row>
    <row r="418" spans="1:9" ht="15.75">
      <c r="A418" s="109" t="s">
        <v>155</v>
      </c>
      <c r="B418" s="84" t="s">
        <v>203</v>
      </c>
      <c r="C418" s="91" t="s">
        <v>123</v>
      </c>
      <c r="D418" s="49" t="s">
        <v>114</v>
      </c>
      <c r="E418" s="29" t="s">
        <v>139</v>
      </c>
      <c r="F418" s="28"/>
      <c r="G418" s="58" t="s">
        <v>156</v>
      </c>
      <c r="H418" s="122">
        <f>10180.2</f>
        <v>10180.2</v>
      </c>
      <c r="I418" s="30"/>
    </row>
    <row r="419" spans="1:9" ht="30">
      <c r="A419" s="71" t="s">
        <v>74</v>
      </c>
      <c r="B419" s="85" t="s">
        <v>203</v>
      </c>
      <c r="C419" s="82" t="s">
        <v>123</v>
      </c>
      <c r="D419" s="59" t="s">
        <v>114</v>
      </c>
      <c r="E419" s="33" t="s">
        <v>28</v>
      </c>
      <c r="F419" s="32"/>
      <c r="G419" s="86"/>
      <c r="H419" s="165">
        <f>H420+H422</f>
        <v>11117</v>
      </c>
      <c r="I419" s="34">
        <f>I420+I422</f>
        <v>0</v>
      </c>
    </row>
    <row r="420" spans="1:9" ht="15.75">
      <c r="A420" s="184" t="s">
        <v>237</v>
      </c>
      <c r="B420" s="84" t="s">
        <v>203</v>
      </c>
      <c r="C420" s="91" t="s">
        <v>123</v>
      </c>
      <c r="D420" s="49" t="s">
        <v>114</v>
      </c>
      <c r="E420" s="29" t="s">
        <v>247</v>
      </c>
      <c r="F420" s="32"/>
      <c r="G420" s="86"/>
      <c r="H420" s="122">
        <f>H421</f>
        <v>283.7</v>
      </c>
      <c r="I420" s="34">
        <f>I421</f>
        <v>0</v>
      </c>
    </row>
    <row r="421" spans="1:9" ht="15.75">
      <c r="A421" s="109" t="s">
        <v>155</v>
      </c>
      <c r="B421" s="84" t="s">
        <v>203</v>
      </c>
      <c r="C421" s="91" t="s">
        <v>123</v>
      </c>
      <c r="D421" s="49" t="s">
        <v>114</v>
      </c>
      <c r="E421" s="29" t="s">
        <v>247</v>
      </c>
      <c r="F421" s="32"/>
      <c r="G421" s="69" t="s">
        <v>156</v>
      </c>
      <c r="H421" s="122">
        <v>283.7</v>
      </c>
      <c r="I421" s="34"/>
    </row>
    <row r="422" spans="1:9" ht="15.75">
      <c r="A422" s="110" t="s">
        <v>18</v>
      </c>
      <c r="B422" s="84" t="s">
        <v>203</v>
      </c>
      <c r="C422" s="91" t="s">
        <v>123</v>
      </c>
      <c r="D422" s="49" t="s">
        <v>114</v>
      </c>
      <c r="E422" s="29" t="s">
        <v>140</v>
      </c>
      <c r="F422" s="28"/>
      <c r="G422" s="69"/>
      <c r="H422" s="122">
        <f>H423</f>
        <v>10833.3</v>
      </c>
      <c r="I422" s="30">
        <f>I423</f>
        <v>0</v>
      </c>
    </row>
    <row r="423" spans="1:9" ht="15.75">
      <c r="A423" s="109" t="s">
        <v>155</v>
      </c>
      <c r="B423" s="84" t="s">
        <v>203</v>
      </c>
      <c r="C423" s="91" t="s">
        <v>123</v>
      </c>
      <c r="D423" s="49" t="s">
        <v>114</v>
      </c>
      <c r="E423" s="29" t="s">
        <v>140</v>
      </c>
      <c r="F423" s="28"/>
      <c r="G423" s="58" t="s">
        <v>156</v>
      </c>
      <c r="H423" s="122">
        <f>9333.3+1500</f>
        <v>10833.3</v>
      </c>
      <c r="I423" s="39"/>
    </row>
    <row r="424" spans="1:9" ht="15.75">
      <c r="A424" s="53" t="s">
        <v>226</v>
      </c>
      <c r="B424" s="85" t="s">
        <v>203</v>
      </c>
      <c r="C424" s="85" t="s">
        <v>123</v>
      </c>
      <c r="D424" s="33" t="s">
        <v>116</v>
      </c>
      <c r="E424" s="33"/>
      <c r="F424" s="36"/>
      <c r="G424" s="86"/>
      <c r="H424" s="165">
        <f>H425+H430+H435</f>
        <v>19836.3</v>
      </c>
      <c r="I424" s="34">
        <f>I425+I430+I435</f>
        <v>0</v>
      </c>
    </row>
    <row r="425" spans="1:9" ht="15.75">
      <c r="A425" s="111" t="s">
        <v>95</v>
      </c>
      <c r="B425" s="84" t="s">
        <v>203</v>
      </c>
      <c r="C425" s="84" t="s">
        <v>123</v>
      </c>
      <c r="D425" s="29" t="s">
        <v>116</v>
      </c>
      <c r="E425" s="49" t="s">
        <v>157</v>
      </c>
      <c r="F425" s="36"/>
      <c r="G425" s="86"/>
      <c r="H425" s="122">
        <f>H426+H428</f>
        <v>7414.6</v>
      </c>
      <c r="I425" s="50">
        <f>I426</f>
        <v>0</v>
      </c>
    </row>
    <row r="426" spans="1:9" ht="15.75">
      <c r="A426" s="113" t="s">
        <v>37</v>
      </c>
      <c r="B426" s="84" t="s">
        <v>203</v>
      </c>
      <c r="C426" s="84" t="s">
        <v>123</v>
      </c>
      <c r="D426" s="29" t="s">
        <v>116</v>
      </c>
      <c r="E426" s="49" t="s">
        <v>159</v>
      </c>
      <c r="F426" s="36"/>
      <c r="G426" s="86"/>
      <c r="H426" s="122">
        <f>H427</f>
        <v>7358.5</v>
      </c>
      <c r="I426" s="30">
        <f>I427</f>
        <v>0</v>
      </c>
    </row>
    <row r="427" spans="1:9" ht="15.75">
      <c r="A427" s="186" t="s">
        <v>152</v>
      </c>
      <c r="B427" s="84" t="s">
        <v>203</v>
      </c>
      <c r="C427" s="84" t="s">
        <v>123</v>
      </c>
      <c r="D427" s="29" t="s">
        <v>116</v>
      </c>
      <c r="E427" s="29" t="s">
        <v>159</v>
      </c>
      <c r="F427" s="36"/>
      <c r="G427" s="69" t="s">
        <v>158</v>
      </c>
      <c r="H427" s="122">
        <f>6902.5-1761-104.3-17.4+1796.2+542.5</f>
        <v>7358.5</v>
      </c>
      <c r="I427" s="30"/>
    </row>
    <row r="428" spans="1:9" ht="15.75">
      <c r="A428" s="184" t="s">
        <v>237</v>
      </c>
      <c r="B428" s="84" t="s">
        <v>203</v>
      </c>
      <c r="C428" s="84" t="s">
        <v>123</v>
      </c>
      <c r="D428" s="29" t="s">
        <v>116</v>
      </c>
      <c r="E428" s="29" t="s">
        <v>238</v>
      </c>
      <c r="F428" s="36"/>
      <c r="G428" s="69"/>
      <c r="H428" s="122">
        <f>H429</f>
        <v>56.099999999999994</v>
      </c>
      <c r="I428" s="30">
        <f>I429</f>
        <v>0</v>
      </c>
    </row>
    <row r="429" spans="1:9" ht="15.75">
      <c r="A429" s="186" t="s">
        <v>152</v>
      </c>
      <c r="B429" s="84" t="s">
        <v>203</v>
      </c>
      <c r="C429" s="84" t="s">
        <v>123</v>
      </c>
      <c r="D429" s="29" t="s">
        <v>116</v>
      </c>
      <c r="E429" s="29" t="s">
        <v>238</v>
      </c>
      <c r="F429" s="36"/>
      <c r="G429" s="69" t="s">
        <v>158</v>
      </c>
      <c r="H429" s="122">
        <f>104.3-48.2</f>
        <v>56.099999999999994</v>
      </c>
      <c r="I429" s="30"/>
    </row>
    <row r="430" spans="1:9" ht="57.75">
      <c r="A430" s="114" t="s">
        <v>73</v>
      </c>
      <c r="B430" s="84" t="s">
        <v>203</v>
      </c>
      <c r="C430" s="84" t="s">
        <v>123</v>
      </c>
      <c r="D430" s="29" t="s">
        <v>116</v>
      </c>
      <c r="E430" s="29" t="s">
        <v>29</v>
      </c>
      <c r="F430" s="28"/>
      <c r="G430" s="69"/>
      <c r="H430" s="122">
        <f>H431+H433</f>
        <v>6052.2</v>
      </c>
      <c r="I430" s="30">
        <f>I431+I433</f>
        <v>0</v>
      </c>
    </row>
    <row r="431" spans="1:9" ht="15.75">
      <c r="A431" s="184" t="s">
        <v>237</v>
      </c>
      <c r="B431" s="84" t="s">
        <v>203</v>
      </c>
      <c r="C431" s="84" t="s">
        <v>123</v>
      </c>
      <c r="D431" s="29" t="s">
        <v>116</v>
      </c>
      <c r="E431" s="29" t="s">
        <v>242</v>
      </c>
      <c r="F431" s="28"/>
      <c r="G431" s="69"/>
      <c r="H431" s="122">
        <f>H432</f>
        <v>58.2</v>
      </c>
      <c r="I431" s="30">
        <f>I432</f>
        <v>0</v>
      </c>
    </row>
    <row r="432" spans="1:9" ht="15.75">
      <c r="A432" s="109" t="s">
        <v>155</v>
      </c>
      <c r="B432" s="84" t="s">
        <v>203</v>
      </c>
      <c r="C432" s="84" t="s">
        <v>123</v>
      </c>
      <c r="D432" s="29" t="s">
        <v>116</v>
      </c>
      <c r="E432" s="29" t="s">
        <v>242</v>
      </c>
      <c r="F432" s="28"/>
      <c r="G432" s="69" t="s">
        <v>156</v>
      </c>
      <c r="H432" s="122">
        <f>10+48.2</f>
        <v>58.2</v>
      </c>
      <c r="I432" s="30"/>
    </row>
    <row r="433" spans="1:9" ht="15.75">
      <c r="A433" s="110" t="s">
        <v>18</v>
      </c>
      <c r="B433" s="84" t="s">
        <v>203</v>
      </c>
      <c r="C433" s="84" t="s">
        <v>123</v>
      </c>
      <c r="D433" s="29" t="s">
        <v>116</v>
      </c>
      <c r="E433" s="29" t="s">
        <v>135</v>
      </c>
      <c r="F433" s="28"/>
      <c r="G433" s="69"/>
      <c r="H433" s="122">
        <f>H434</f>
        <v>5994</v>
      </c>
      <c r="I433" s="30">
        <f>I434</f>
        <v>0</v>
      </c>
    </row>
    <row r="434" spans="1:9" ht="15.75">
      <c r="A434" s="109" t="s">
        <v>155</v>
      </c>
      <c r="B434" s="84" t="s">
        <v>203</v>
      </c>
      <c r="C434" s="84" t="s">
        <v>123</v>
      </c>
      <c r="D434" s="29" t="s">
        <v>116</v>
      </c>
      <c r="E434" s="29" t="s">
        <v>135</v>
      </c>
      <c r="F434" s="28"/>
      <c r="G434" s="69" t="s">
        <v>156</v>
      </c>
      <c r="H434" s="122">
        <f>5244+1306-556</f>
        <v>5994</v>
      </c>
      <c r="I434" s="30"/>
    </row>
    <row r="435" spans="1:9" ht="15.75">
      <c r="A435" s="15" t="s">
        <v>83</v>
      </c>
      <c r="B435" s="84" t="s">
        <v>203</v>
      </c>
      <c r="C435" s="84" t="s">
        <v>123</v>
      </c>
      <c r="D435" s="29" t="s">
        <v>116</v>
      </c>
      <c r="E435" s="29" t="s">
        <v>84</v>
      </c>
      <c r="F435" s="28"/>
      <c r="G435" s="69"/>
      <c r="H435" s="122">
        <f>H436+H438</f>
        <v>6369.5</v>
      </c>
      <c r="I435" s="30"/>
    </row>
    <row r="436" spans="1:9" ht="43.5">
      <c r="A436" s="111" t="s">
        <v>231</v>
      </c>
      <c r="B436" s="84" t="s">
        <v>203</v>
      </c>
      <c r="C436" s="84" t="s">
        <v>123</v>
      </c>
      <c r="D436" s="29" t="s">
        <v>116</v>
      </c>
      <c r="E436" s="29" t="s">
        <v>136</v>
      </c>
      <c r="F436" s="28"/>
      <c r="G436" s="69"/>
      <c r="H436" s="122">
        <f>H437</f>
        <v>753.5999999999998</v>
      </c>
      <c r="I436" s="30"/>
    </row>
    <row r="437" spans="1:9" ht="15.75">
      <c r="A437" s="113" t="s">
        <v>94</v>
      </c>
      <c r="B437" s="84" t="s">
        <v>203</v>
      </c>
      <c r="C437" s="84" t="s">
        <v>123</v>
      </c>
      <c r="D437" s="29" t="s">
        <v>116</v>
      </c>
      <c r="E437" s="29" t="s">
        <v>136</v>
      </c>
      <c r="F437" s="28"/>
      <c r="G437" s="69" t="s">
        <v>158</v>
      </c>
      <c r="H437" s="122">
        <f>1751+924.7-1796.2-542.5+416.6</f>
        <v>753.5999999999998</v>
      </c>
      <c r="I437" s="30"/>
    </row>
    <row r="438" spans="1:9" ht="29.25">
      <c r="A438" s="111" t="s">
        <v>214</v>
      </c>
      <c r="B438" s="84" t="s">
        <v>203</v>
      </c>
      <c r="C438" s="89" t="s">
        <v>123</v>
      </c>
      <c r="D438" s="38" t="s">
        <v>116</v>
      </c>
      <c r="E438" s="29" t="s">
        <v>266</v>
      </c>
      <c r="F438" s="37"/>
      <c r="G438" s="69"/>
      <c r="H438" s="122">
        <f>H439+H440</f>
        <v>5615.900000000001</v>
      </c>
      <c r="I438" s="30">
        <f>I439</f>
        <v>0</v>
      </c>
    </row>
    <row r="439" spans="1:9" ht="15.75">
      <c r="A439" s="109" t="s">
        <v>155</v>
      </c>
      <c r="B439" s="84" t="s">
        <v>203</v>
      </c>
      <c r="C439" s="84" t="s">
        <v>123</v>
      </c>
      <c r="D439" s="29" t="s">
        <v>116</v>
      </c>
      <c r="E439" s="29" t="s">
        <v>266</v>
      </c>
      <c r="F439" s="28"/>
      <c r="G439" s="58" t="s">
        <v>156</v>
      </c>
      <c r="H439" s="122">
        <f>3633.8-1559.2+1500+101.1+150+208.1+150</f>
        <v>4183.8</v>
      </c>
      <c r="I439" s="47"/>
    </row>
    <row r="440" spans="1:9" ht="15.75">
      <c r="A440" s="113" t="s">
        <v>94</v>
      </c>
      <c r="B440" s="84" t="s">
        <v>203</v>
      </c>
      <c r="C440" s="84" t="s">
        <v>123</v>
      </c>
      <c r="D440" s="29" t="s">
        <v>116</v>
      </c>
      <c r="E440" s="29" t="s">
        <v>266</v>
      </c>
      <c r="F440" s="28"/>
      <c r="G440" s="69" t="s">
        <v>158</v>
      </c>
      <c r="H440" s="122">
        <f>792+2101.5+1000-47.7-212+14.1+318-3647.9+14.1+336.8+1559.2+1163.2-1500-101.1-208.1-150</f>
        <v>1432.1000000000004</v>
      </c>
      <c r="I440" s="47"/>
    </row>
    <row r="441" spans="1:9" ht="15.75">
      <c r="A441" s="53" t="s">
        <v>142</v>
      </c>
      <c r="B441" s="85" t="s">
        <v>203</v>
      </c>
      <c r="C441" s="85" t="s">
        <v>196</v>
      </c>
      <c r="D441" s="33"/>
      <c r="E441" s="33"/>
      <c r="F441" s="32"/>
      <c r="G441" s="86"/>
      <c r="H441" s="165">
        <f>H442</f>
        <v>17532.899999999998</v>
      </c>
      <c r="I441" s="34">
        <f>I442</f>
        <v>0</v>
      </c>
    </row>
    <row r="442" spans="1:9" ht="15.75">
      <c r="A442" s="15" t="s">
        <v>197</v>
      </c>
      <c r="B442" s="82" t="s">
        <v>203</v>
      </c>
      <c r="C442" s="82" t="s">
        <v>196</v>
      </c>
      <c r="D442" s="59" t="s">
        <v>114</v>
      </c>
      <c r="E442" s="33"/>
      <c r="F442" s="36"/>
      <c r="G442" s="86"/>
      <c r="H442" s="263">
        <f>H443+H450</f>
        <v>17532.899999999998</v>
      </c>
      <c r="I442" s="61">
        <f>I443+I450</f>
        <v>0</v>
      </c>
    </row>
    <row r="443" spans="1:9" ht="15.75">
      <c r="A443" s="109" t="s">
        <v>50</v>
      </c>
      <c r="B443" s="84" t="s">
        <v>203</v>
      </c>
      <c r="C443" s="84" t="s">
        <v>196</v>
      </c>
      <c r="D443" s="29" t="s">
        <v>114</v>
      </c>
      <c r="E443" s="29" t="s">
        <v>51</v>
      </c>
      <c r="F443" s="28"/>
      <c r="G443" s="69"/>
      <c r="H443" s="122">
        <f>H444+H447</f>
        <v>15655.999999999998</v>
      </c>
      <c r="I443" s="30">
        <f>I444+I447</f>
        <v>0</v>
      </c>
    </row>
    <row r="444" spans="1:9" ht="15.75">
      <c r="A444" s="184" t="s">
        <v>237</v>
      </c>
      <c r="B444" s="84" t="s">
        <v>203</v>
      </c>
      <c r="C444" s="84" t="s">
        <v>196</v>
      </c>
      <c r="D444" s="29" t="s">
        <v>114</v>
      </c>
      <c r="E444" s="37" t="s">
        <v>243</v>
      </c>
      <c r="F444" s="28"/>
      <c r="G444" s="69"/>
      <c r="H444" s="122">
        <f>H446+H445</f>
        <v>796.8</v>
      </c>
      <c r="I444" s="30">
        <f>I446</f>
        <v>0</v>
      </c>
    </row>
    <row r="445" spans="1:9" ht="15.75">
      <c r="A445" s="47" t="s">
        <v>103</v>
      </c>
      <c r="B445" s="84" t="s">
        <v>203</v>
      </c>
      <c r="C445" s="84" t="s">
        <v>196</v>
      </c>
      <c r="D445" s="29" t="s">
        <v>114</v>
      </c>
      <c r="E445" s="37" t="s">
        <v>243</v>
      </c>
      <c r="F445" s="28"/>
      <c r="G445" s="69" t="s">
        <v>56</v>
      </c>
      <c r="H445" s="122">
        <f>3-3</f>
        <v>0</v>
      </c>
      <c r="I445" s="30"/>
    </row>
    <row r="446" spans="1:9" ht="15.75">
      <c r="A446" s="109" t="s">
        <v>155</v>
      </c>
      <c r="B446" s="84" t="s">
        <v>203</v>
      </c>
      <c r="C446" s="84" t="s">
        <v>196</v>
      </c>
      <c r="D446" s="29" t="s">
        <v>114</v>
      </c>
      <c r="E446" s="37" t="s">
        <v>243</v>
      </c>
      <c r="F446" s="28"/>
      <c r="G446" s="69" t="s">
        <v>156</v>
      </c>
      <c r="H446" s="122">
        <f>792.5+1.3+3</f>
        <v>796.8</v>
      </c>
      <c r="I446" s="30"/>
    </row>
    <row r="447" spans="1:9" ht="15.75">
      <c r="A447" s="110" t="s">
        <v>18</v>
      </c>
      <c r="B447" s="84" t="s">
        <v>203</v>
      </c>
      <c r="C447" s="84" t="s">
        <v>196</v>
      </c>
      <c r="D447" s="29" t="s">
        <v>114</v>
      </c>
      <c r="E447" s="29" t="s">
        <v>143</v>
      </c>
      <c r="F447" s="28"/>
      <c r="G447" s="69"/>
      <c r="H447" s="122">
        <f>H449+H448</f>
        <v>14859.199999999999</v>
      </c>
      <c r="I447" s="30">
        <f>I449</f>
        <v>0</v>
      </c>
    </row>
    <row r="448" spans="1:9" ht="15.75">
      <c r="A448" s="47" t="s">
        <v>103</v>
      </c>
      <c r="B448" s="84" t="s">
        <v>203</v>
      </c>
      <c r="C448" s="84" t="s">
        <v>196</v>
      </c>
      <c r="D448" s="29" t="s">
        <v>114</v>
      </c>
      <c r="E448" s="29" t="s">
        <v>143</v>
      </c>
      <c r="F448" s="28"/>
      <c r="G448" s="69" t="s">
        <v>56</v>
      </c>
      <c r="H448" s="122">
        <v>2.4</v>
      </c>
      <c r="I448" s="30"/>
    </row>
    <row r="449" spans="1:9" ht="15.75">
      <c r="A449" s="109" t="s">
        <v>155</v>
      </c>
      <c r="B449" s="84" t="s">
        <v>203</v>
      </c>
      <c r="C449" s="84" t="s">
        <v>196</v>
      </c>
      <c r="D449" s="29" t="s">
        <v>114</v>
      </c>
      <c r="E449" s="29" t="s">
        <v>143</v>
      </c>
      <c r="F449" s="28"/>
      <c r="G449" s="58" t="s">
        <v>156</v>
      </c>
      <c r="H449" s="122">
        <f>10642.3+1214.5+3000+200-200</f>
        <v>14856.8</v>
      </c>
      <c r="I449" s="47"/>
    </row>
    <row r="450" spans="1:9" ht="15.75">
      <c r="A450" s="109" t="s">
        <v>83</v>
      </c>
      <c r="B450" s="84" t="s">
        <v>203</v>
      </c>
      <c r="C450" s="84" t="s">
        <v>196</v>
      </c>
      <c r="D450" s="29" t="s">
        <v>114</v>
      </c>
      <c r="E450" s="29" t="s">
        <v>84</v>
      </c>
      <c r="F450" s="28"/>
      <c r="G450" s="69"/>
      <c r="H450" s="122">
        <f>H451</f>
        <v>1876.9</v>
      </c>
      <c r="I450" s="30">
        <f>I451</f>
        <v>0</v>
      </c>
    </row>
    <row r="451" spans="1:9" ht="43.5">
      <c r="A451" s="111" t="s">
        <v>251</v>
      </c>
      <c r="B451" s="84" t="s">
        <v>203</v>
      </c>
      <c r="C451" s="84" t="s">
        <v>196</v>
      </c>
      <c r="D451" s="29" t="s">
        <v>114</v>
      </c>
      <c r="E451" s="29" t="s">
        <v>268</v>
      </c>
      <c r="F451" s="28"/>
      <c r="G451" s="58"/>
      <c r="H451" s="122">
        <f>H453+H452</f>
        <v>1876.9</v>
      </c>
      <c r="I451" s="47"/>
    </row>
    <row r="452" spans="1:9" ht="15.75">
      <c r="A452" s="109" t="s">
        <v>155</v>
      </c>
      <c r="B452" s="84" t="s">
        <v>203</v>
      </c>
      <c r="C452" s="84" t="s">
        <v>196</v>
      </c>
      <c r="D452" s="29" t="s">
        <v>114</v>
      </c>
      <c r="E452" s="29" t="s">
        <v>268</v>
      </c>
      <c r="F452" s="28"/>
      <c r="G452" s="58" t="s">
        <v>156</v>
      </c>
      <c r="H452" s="122">
        <f>1491-114.1+300-300-1186.1+200+300</f>
        <v>690.8000000000002</v>
      </c>
      <c r="I452" s="47"/>
    </row>
    <row r="453" spans="1:9" ht="16.5" thickBot="1">
      <c r="A453" s="113" t="s">
        <v>94</v>
      </c>
      <c r="B453" s="204" t="s">
        <v>203</v>
      </c>
      <c r="C453" s="204" t="s">
        <v>196</v>
      </c>
      <c r="D453" s="194" t="s">
        <v>114</v>
      </c>
      <c r="E453" s="49" t="s">
        <v>268</v>
      </c>
      <c r="F453" s="205"/>
      <c r="G453" s="206" t="s">
        <v>158</v>
      </c>
      <c r="H453" s="229">
        <f>300+1186.1-300</f>
        <v>1186.1</v>
      </c>
      <c r="I453" s="207"/>
    </row>
    <row r="454" spans="1:9" ht="72.75" thickBot="1">
      <c r="A454" s="231" t="s">
        <v>491</v>
      </c>
      <c r="B454" s="80" t="s">
        <v>255</v>
      </c>
      <c r="C454" s="80"/>
      <c r="D454" s="22"/>
      <c r="E454" s="22"/>
      <c r="F454" s="20"/>
      <c r="G454" s="98"/>
      <c r="H454" s="120">
        <f aca="true" t="shared" si="12" ref="H454:I456">H455</f>
        <v>6050.099999999999</v>
      </c>
      <c r="I454" s="23">
        <f t="shared" si="12"/>
        <v>0</v>
      </c>
    </row>
    <row r="455" spans="1:9" ht="15.75">
      <c r="A455" s="233" t="s">
        <v>13</v>
      </c>
      <c r="B455" s="95" t="s">
        <v>255</v>
      </c>
      <c r="C455" s="95" t="s">
        <v>114</v>
      </c>
      <c r="D455" s="26"/>
      <c r="E455" s="59"/>
      <c r="F455" s="25"/>
      <c r="G455" s="106"/>
      <c r="H455" s="189">
        <f>H456+H464</f>
        <v>6050.099999999999</v>
      </c>
      <c r="I455" s="27">
        <f t="shared" si="12"/>
        <v>0</v>
      </c>
    </row>
    <row r="456" spans="1:9" ht="45">
      <c r="A456" s="71" t="s">
        <v>164</v>
      </c>
      <c r="B456" s="85" t="s">
        <v>255</v>
      </c>
      <c r="C456" s="85" t="s">
        <v>114</v>
      </c>
      <c r="D456" s="33" t="s">
        <v>119</v>
      </c>
      <c r="E456" s="33"/>
      <c r="F456" s="32"/>
      <c r="G456" s="99"/>
      <c r="H456" s="165">
        <f t="shared" si="12"/>
        <v>5499.2</v>
      </c>
      <c r="I456" s="34">
        <f t="shared" si="12"/>
        <v>0</v>
      </c>
    </row>
    <row r="457" spans="1:9" ht="43.5">
      <c r="A457" s="111" t="s">
        <v>161</v>
      </c>
      <c r="B457" s="84" t="s">
        <v>255</v>
      </c>
      <c r="C457" s="84" t="s">
        <v>114</v>
      </c>
      <c r="D457" s="29" t="s">
        <v>119</v>
      </c>
      <c r="E457" s="29" t="s">
        <v>157</v>
      </c>
      <c r="F457" s="28"/>
      <c r="G457" s="58"/>
      <c r="H457" s="122">
        <f>H460+H458+H462</f>
        <v>5499.2</v>
      </c>
      <c r="I457" s="30">
        <f>I460+I458+I462</f>
        <v>0</v>
      </c>
    </row>
    <row r="458" spans="1:9" ht="15.75">
      <c r="A458" s="109" t="s">
        <v>37</v>
      </c>
      <c r="B458" s="84" t="s">
        <v>255</v>
      </c>
      <c r="C458" s="84" t="s">
        <v>114</v>
      </c>
      <c r="D458" s="29" t="s">
        <v>119</v>
      </c>
      <c r="E458" s="29" t="s">
        <v>159</v>
      </c>
      <c r="F458" s="28"/>
      <c r="G458" s="58"/>
      <c r="H458" s="122">
        <f>H459</f>
        <v>2703.2</v>
      </c>
      <c r="I458" s="30"/>
    </row>
    <row r="459" spans="1:9" ht="15.75">
      <c r="A459" s="113" t="s">
        <v>94</v>
      </c>
      <c r="B459" s="84" t="s">
        <v>255</v>
      </c>
      <c r="C459" s="84" t="s">
        <v>114</v>
      </c>
      <c r="D459" s="29" t="s">
        <v>119</v>
      </c>
      <c r="E459" s="29" t="s">
        <v>159</v>
      </c>
      <c r="F459" s="28"/>
      <c r="G459" s="58" t="s">
        <v>158</v>
      </c>
      <c r="H459" s="122">
        <f>2444.5-490.8+491+264.5-6</f>
        <v>2703.2</v>
      </c>
      <c r="I459" s="30"/>
    </row>
    <row r="460" spans="1:9" ht="29.25">
      <c r="A460" s="111" t="s">
        <v>165</v>
      </c>
      <c r="B460" s="84" t="s">
        <v>255</v>
      </c>
      <c r="C460" s="84" t="s">
        <v>114</v>
      </c>
      <c r="D460" s="29" t="s">
        <v>119</v>
      </c>
      <c r="E460" s="29" t="s">
        <v>166</v>
      </c>
      <c r="F460" s="28"/>
      <c r="G460" s="58"/>
      <c r="H460" s="122">
        <f>H461</f>
        <v>2793</v>
      </c>
      <c r="I460" s="30">
        <f>I461</f>
        <v>0</v>
      </c>
    </row>
    <row r="461" spans="1:9" ht="15.75">
      <c r="A461" s="109" t="s">
        <v>94</v>
      </c>
      <c r="B461" s="84" t="s">
        <v>255</v>
      </c>
      <c r="C461" s="84" t="s">
        <v>114</v>
      </c>
      <c r="D461" s="29" t="s">
        <v>119</v>
      </c>
      <c r="E461" s="29" t="s">
        <v>166</v>
      </c>
      <c r="F461" s="28"/>
      <c r="G461" s="58" t="s">
        <v>158</v>
      </c>
      <c r="H461" s="122">
        <f>1746.7+543.4-491+597.9+6+390</f>
        <v>2793</v>
      </c>
      <c r="I461" s="30"/>
    </row>
    <row r="462" spans="1:9" ht="15.75">
      <c r="A462" s="184" t="s">
        <v>237</v>
      </c>
      <c r="B462" s="84" t="s">
        <v>255</v>
      </c>
      <c r="C462" s="84" t="s">
        <v>114</v>
      </c>
      <c r="D462" s="29" t="s">
        <v>195</v>
      </c>
      <c r="E462" s="29" t="s">
        <v>238</v>
      </c>
      <c r="F462" s="28"/>
      <c r="G462" s="58"/>
      <c r="H462" s="122">
        <f>H463</f>
        <v>3</v>
      </c>
      <c r="I462" s="30"/>
    </row>
    <row r="463" spans="1:9" ht="15.75">
      <c r="A463" s="113" t="s">
        <v>94</v>
      </c>
      <c r="B463" s="91" t="s">
        <v>255</v>
      </c>
      <c r="C463" s="91" t="s">
        <v>114</v>
      </c>
      <c r="D463" s="49" t="s">
        <v>195</v>
      </c>
      <c r="E463" s="29" t="s">
        <v>238</v>
      </c>
      <c r="F463" s="28"/>
      <c r="G463" s="58" t="s">
        <v>158</v>
      </c>
      <c r="H463" s="122">
        <v>3</v>
      </c>
      <c r="I463" s="30"/>
    </row>
    <row r="464" spans="1:9" ht="15.75">
      <c r="A464" s="15" t="s">
        <v>52</v>
      </c>
      <c r="B464" s="82" t="s">
        <v>255</v>
      </c>
      <c r="C464" s="82" t="s">
        <v>114</v>
      </c>
      <c r="D464" s="59" t="s">
        <v>195</v>
      </c>
      <c r="E464" s="59"/>
      <c r="F464" s="36"/>
      <c r="G464" s="181"/>
      <c r="H464" s="230">
        <f>H465</f>
        <v>550.9</v>
      </c>
      <c r="I464" s="83"/>
    </row>
    <row r="465" spans="1:9" ht="15.75">
      <c r="A465" s="109" t="s">
        <v>83</v>
      </c>
      <c r="B465" s="84" t="s">
        <v>255</v>
      </c>
      <c r="C465" s="84" t="s">
        <v>114</v>
      </c>
      <c r="D465" s="29" t="s">
        <v>195</v>
      </c>
      <c r="E465" s="29" t="s">
        <v>84</v>
      </c>
      <c r="F465" s="28"/>
      <c r="G465" s="58"/>
      <c r="H465" s="122">
        <f>H466</f>
        <v>550.9</v>
      </c>
      <c r="I465" s="30"/>
    </row>
    <row r="466" spans="1:9" ht="43.5">
      <c r="A466" s="111" t="s">
        <v>218</v>
      </c>
      <c r="B466" s="84" t="s">
        <v>255</v>
      </c>
      <c r="C466" s="84" t="s">
        <v>114</v>
      </c>
      <c r="D466" s="29" t="s">
        <v>195</v>
      </c>
      <c r="E466" s="29" t="s">
        <v>136</v>
      </c>
      <c r="F466" s="28"/>
      <c r="G466" s="58"/>
      <c r="H466" s="122">
        <f>H467</f>
        <v>550.9</v>
      </c>
      <c r="I466" s="30"/>
    </row>
    <row r="467" spans="1:9" ht="21" customHeight="1" thickBot="1">
      <c r="A467" s="110" t="s">
        <v>94</v>
      </c>
      <c r="B467" s="89" t="s">
        <v>255</v>
      </c>
      <c r="C467" s="89" t="s">
        <v>114</v>
      </c>
      <c r="D467" s="38" t="s">
        <v>195</v>
      </c>
      <c r="E467" s="29" t="s">
        <v>136</v>
      </c>
      <c r="F467" s="37"/>
      <c r="G467" s="100" t="s">
        <v>158</v>
      </c>
      <c r="H467" s="166">
        <f>784.1+525-597.9-264.5+104.2</f>
        <v>550.9</v>
      </c>
      <c r="I467" s="39"/>
    </row>
    <row r="468" spans="1:10" s="3" customFormat="1" ht="54.75" thickBot="1">
      <c r="A468" s="278" t="s">
        <v>274</v>
      </c>
      <c r="B468" s="20" t="s">
        <v>204</v>
      </c>
      <c r="C468" s="22"/>
      <c r="D468" s="20"/>
      <c r="E468" s="22"/>
      <c r="F468" s="20"/>
      <c r="G468" s="279"/>
      <c r="H468" s="23">
        <f>H469+H481+H486+H494</f>
        <v>13610.599999999999</v>
      </c>
      <c r="I468" s="23">
        <f>I469+I481+I486</f>
        <v>0</v>
      </c>
      <c r="J468"/>
    </row>
    <row r="469" spans="1:10" s="3" customFormat="1" ht="15.75">
      <c r="A469" s="247" t="s">
        <v>13</v>
      </c>
      <c r="B469" s="36" t="s">
        <v>204</v>
      </c>
      <c r="C469" s="59" t="s">
        <v>114</v>
      </c>
      <c r="D469" s="36"/>
      <c r="E469" s="59"/>
      <c r="F469" s="264"/>
      <c r="G469" s="277"/>
      <c r="H469" s="61">
        <f>H470</f>
        <v>9610.599999999999</v>
      </c>
      <c r="I469" s="61">
        <f aca="true" t="shared" si="13" ref="H469:I472">I470</f>
        <v>0</v>
      </c>
      <c r="J469"/>
    </row>
    <row r="470" spans="1:10" s="3" customFormat="1" ht="15.75">
      <c r="A470" s="35" t="s">
        <v>52</v>
      </c>
      <c r="B470" s="32" t="s">
        <v>204</v>
      </c>
      <c r="C470" s="33" t="s">
        <v>114</v>
      </c>
      <c r="D470" s="32" t="s">
        <v>195</v>
      </c>
      <c r="E470" s="33"/>
      <c r="F470" s="262"/>
      <c r="G470" s="276"/>
      <c r="H470" s="34">
        <f>H471+H476</f>
        <v>9610.599999999999</v>
      </c>
      <c r="I470" s="34">
        <f t="shared" si="13"/>
        <v>0</v>
      </c>
      <c r="J470"/>
    </row>
    <row r="471" spans="1:10" s="3" customFormat="1" ht="15.75">
      <c r="A471" s="47" t="s">
        <v>14</v>
      </c>
      <c r="B471" s="28" t="s">
        <v>204</v>
      </c>
      <c r="C471" s="29" t="s">
        <v>114</v>
      </c>
      <c r="D471" s="28" t="s">
        <v>195</v>
      </c>
      <c r="E471" s="29" t="s">
        <v>157</v>
      </c>
      <c r="F471" s="75"/>
      <c r="G471" s="88"/>
      <c r="H471" s="30">
        <f>H472+H474</f>
        <v>8565.9</v>
      </c>
      <c r="I471" s="30">
        <f t="shared" si="13"/>
        <v>0</v>
      </c>
      <c r="J471"/>
    </row>
    <row r="472" spans="1:10" s="3" customFormat="1" ht="15.75">
      <c r="A472" s="47" t="s">
        <v>37</v>
      </c>
      <c r="B472" s="28" t="s">
        <v>204</v>
      </c>
      <c r="C472" s="29" t="s">
        <v>114</v>
      </c>
      <c r="D472" s="28" t="s">
        <v>195</v>
      </c>
      <c r="E472" s="29" t="s">
        <v>159</v>
      </c>
      <c r="F472" s="75"/>
      <c r="G472" s="88"/>
      <c r="H472" s="30">
        <f t="shared" si="13"/>
        <v>8540.9</v>
      </c>
      <c r="I472" s="30">
        <f t="shared" si="13"/>
        <v>0</v>
      </c>
      <c r="J472"/>
    </row>
    <row r="473" spans="1:10" s="3" customFormat="1" ht="15.75">
      <c r="A473" s="47" t="s">
        <v>94</v>
      </c>
      <c r="B473" s="28" t="s">
        <v>204</v>
      </c>
      <c r="C473" s="29" t="s">
        <v>114</v>
      </c>
      <c r="D473" s="28" t="s">
        <v>195</v>
      </c>
      <c r="E473" s="29" t="s">
        <v>159</v>
      </c>
      <c r="F473" s="75"/>
      <c r="G473" s="88" t="s">
        <v>158</v>
      </c>
      <c r="H473" s="30">
        <f>6449.8-266.9+1828+552.1-22.1</f>
        <v>8540.9</v>
      </c>
      <c r="I473" s="47"/>
      <c r="J473"/>
    </row>
    <row r="474" spans="1:10" s="3" customFormat="1" ht="15.75">
      <c r="A474" s="274" t="s">
        <v>237</v>
      </c>
      <c r="B474" s="28" t="s">
        <v>204</v>
      </c>
      <c r="C474" s="29" t="s">
        <v>114</v>
      </c>
      <c r="D474" s="28" t="s">
        <v>195</v>
      </c>
      <c r="E474" s="29" t="s">
        <v>238</v>
      </c>
      <c r="F474" s="75"/>
      <c r="G474" s="88"/>
      <c r="H474" s="30">
        <f>H475</f>
        <v>25</v>
      </c>
      <c r="I474" s="47"/>
      <c r="J474"/>
    </row>
    <row r="475" spans="1:10" s="3" customFormat="1" ht="15.75">
      <c r="A475" s="47" t="s">
        <v>94</v>
      </c>
      <c r="B475" s="28" t="s">
        <v>204</v>
      </c>
      <c r="C475" s="29" t="s">
        <v>114</v>
      </c>
      <c r="D475" s="28" t="s">
        <v>195</v>
      </c>
      <c r="E475" s="29" t="s">
        <v>238</v>
      </c>
      <c r="F475" s="75"/>
      <c r="G475" s="88" t="s">
        <v>158</v>
      </c>
      <c r="H475" s="30">
        <f>25</f>
        <v>25</v>
      </c>
      <c r="I475" s="47"/>
      <c r="J475"/>
    </row>
    <row r="476" spans="1:10" s="3" customFormat="1" ht="15.75">
      <c r="A476" s="47" t="s">
        <v>83</v>
      </c>
      <c r="B476" s="28" t="s">
        <v>204</v>
      </c>
      <c r="C476" s="29" t="s">
        <v>114</v>
      </c>
      <c r="D476" s="28" t="s">
        <v>195</v>
      </c>
      <c r="E476" s="29" t="s">
        <v>84</v>
      </c>
      <c r="F476" s="75"/>
      <c r="G476" s="88"/>
      <c r="H476" s="30">
        <f>H477+H479</f>
        <v>1044.6999999999998</v>
      </c>
      <c r="I476" s="47"/>
      <c r="J476"/>
    </row>
    <row r="477" spans="1:10" s="3" customFormat="1" ht="43.5">
      <c r="A477" s="116" t="s">
        <v>218</v>
      </c>
      <c r="B477" s="28" t="s">
        <v>204</v>
      </c>
      <c r="C477" s="29" t="s">
        <v>114</v>
      </c>
      <c r="D477" s="28" t="s">
        <v>195</v>
      </c>
      <c r="E477" s="29" t="s">
        <v>136</v>
      </c>
      <c r="F477" s="75"/>
      <c r="G477" s="88"/>
      <c r="H477" s="30">
        <f>H478</f>
        <v>694.6999999999998</v>
      </c>
      <c r="I477" s="47"/>
      <c r="J477"/>
    </row>
    <row r="478" spans="1:11" s="3" customFormat="1" ht="15.75">
      <c r="A478" s="47" t="s">
        <v>94</v>
      </c>
      <c r="B478" s="28" t="s">
        <v>204</v>
      </c>
      <c r="C478" s="29" t="s">
        <v>114</v>
      </c>
      <c r="D478" s="28" t="s">
        <v>195</v>
      </c>
      <c r="E478" s="29" t="s">
        <v>136</v>
      </c>
      <c r="F478" s="75"/>
      <c r="G478" s="88" t="s">
        <v>158</v>
      </c>
      <c r="H478" s="30">
        <f>1562.1+1178.1-1828-552.1+22.1+312.5</f>
        <v>694.6999999999998</v>
      </c>
      <c r="I478" s="47"/>
      <c r="J478"/>
      <c r="K478" s="333"/>
    </row>
    <row r="479" spans="1:10" s="3" customFormat="1" ht="85.5">
      <c r="A479" s="275" t="s">
        <v>209</v>
      </c>
      <c r="B479" s="28" t="s">
        <v>204</v>
      </c>
      <c r="C479" s="29" t="s">
        <v>114</v>
      </c>
      <c r="D479" s="28" t="s">
        <v>195</v>
      </c>
      <c r="E479" s="29" t="s">
        <v>210</v>
      </c>
      <c r="F479" s="75"/>
      <c r="G479" s="88"/>
      <c r="H479" s="30">
        <f>H480</f>
        <v>350</v>
      </c>
      <c r="I479" s="47"/>
      <c r="J479"/>
    </row>
    <row r="480" spans="1:10" s="3" customFormat="1" ht="15.75">
      <c r="A480" s="47" t="s">
        <v>94</v>
      </c>
      <c r="B480" s="28" t="s">
        <v>204</v>
      </c>
      <c r="C480" s="29" t="s">
        <v>114</v>
      </c>
      <c r="D480" s="28" t="s">
        <v>195</v>
      </c>
      <c r="E480" s="29" t="s">
        <v>210</v>
      </c>
      <c r="F480" s="75"/>
      <c r="G480" s="88" t="s">
        <v>158</v>
      </c>
      <c r="H480" s="30">
        <v>350</v>
      </c>
      <c r="I480" s="47"/>
      <c r="J480"/>
    </row>
    <row r="481" spans="1:10" s="3" customFormat="1" ht="30">
      <c r="A481" s="31" t="s">
        <v>76</v>
      </c>
      <c r="B481" s="32" t="s">
        <v>204</v>
      </c>
      <c r="C481" s="33" t="s">
        <v>119</v>
      </c>
      <c r="D481" s="32"/>
      <c r="E481" s="33"/>
      <c r="F481" s="262"/>
      <c r="G481" s="276"/>
      <c r="H481" s="34">
        <f>H482</f>
        <v>300</v>
      </c>
      <c r="I481" s="34"/>
      <c r="J481"/>
    </row>
    <row r="482" spans="1:10" s="3" customFormat="1" ht="30">
      <c r="A482" s="31" t="s">
        <v>71</v>
      </c>
      <c r="B482" s="32" t="s">
        <v>204</v>
      </c>
      <c r="C482" s="33" t="s">
        <v>119</v>
      </c>
      <c r="D482" s="32" t="s">
        <v>118</v>
      </c>
      <c r="E482" s="33"/>
      <c r="F482" s="262"/>
      <c r="G482" s="276"/>
      <c r="H482" s="34">
        <f>H483</f>
        <v>300</v>
      </c>
      <c r="I482" s="34"/>
      <c r="J482"/>
    </row>
    <row r="483" spans="1:10" s="3" customFormat="1" ht="15.75">
      <c r="A483" s="47" t="s">
        <v>83</v>
      </c>
      <c r="B483" s="28" t="s">
        <v>204</v>
      </c>
      <c r="C483" s="29" t="s">
        <v>119</v>
      </c>
      <c r="D483" s="28" t="s">
        <v>118</v>
      </c>
      <c r="E483" s="29" t="s">
        <v>84</v>
      </c>
      <c r="F483" s="75"/>
      <c r="G483" s="88"/>
      <c r="H483" s="30">
        <f>H484</f>
        <v>300</v>
      </c>
      <c r="I483" s="30">
        <f>I484</f>
        <v>0</v>
      </c>
      <c r="J483"/>
    </row>
    <row r="484" spans="1:10" s="3" customFormat="1" ht="43.5">
      <c r="A484" s="128" t="s">
        <v>252</v>
      </c>
      <c r="B484" s="28" t="s">
        <v>204</v>
      </c>
      <c r="C484" s="29" t="s">
        <v>119</v>
      </c>
      <c r="D484" s="28" t="s">
        <v>118</v>
      </c>
      <c r="E484" s="29" t="s">
        <v>150</v>
      </c>
      <c r="F484" s="75"/>
      <c r="G484" s="88"/>
      <c r="H484" s="30">
        <f>H485</f>
        <v>300</v>
      </c>
      <c r="I484" s="47"/>
      <c r="J484"/>
    </row>
    <row r="485" spans="1:10" s="3" customFormat="1" ht="15.75">
      <c r="A485" s="47" t="s">
        <v>94</v>
      </c>
      <c r="B485" s="28" t="s">
        <v>204</v>
      </c>
      <c r="C485" s="29" t="s">
        <v>119</v>
      </c>
      <c r="D485" s="28" t="s">
        <v>118</v>
      </c>
      <c r="E485" s="29" t="s">
        <v>150</v>
      </c>
      <c r="F485" s="75"/>
      <c r="G485" s="88" t="s">
        <v>158</v>
      </c>
      <c r="H485" s="30">
        <v>300</v>
      </c>
      <c r="I485" s="119"/>
      <c r="J485"/>
    </row>
    <row r="486" spans="1:10" s="3" customFormat="1" ht="15.75">
      <c r="A486" s="35" t="s">
        <v>16</v>
      </c>
      <c r="B486" s="32" t="s">
        <v>204</v>
      </c>
      <c r="C486" s="33" t="s">
        <v>127</v>
      </c>
      <c r="D486" s="28"/>
      <c r="E486" s="29"/>
      <c r="F486" s="75"/>
      <c r="G486" s="88"/>
      <c r="H486" s="122">
        <f>H490+H487</f>
        <v>3100</v>
      </c>
      <c r="I486" s="47"/>
      <c r="J486"/>
    </row>
    <row r="487" spans="1:10" s="3" customFormat="1" ht="15.75">
      <c r="A487" s="361" t="s">
        <v>466</v>
      </c>
      <c r="B487" s="38" t="s">
        <v>204</v>
      </c>
      <c r="C487" s="132" t="s">
        <v>127</v>
      </c>
      <c r="D487" s="89" t="s">
        <v>115</v>
      </c>
      <c r="E487" s="29" t="s">
        <v>467</v>
      </c>
      <c r="F487" s="32"/>
      <c r="G487" s="99"/>
      <c r="H487" s="122">
        <f>H488</f>
        <v>0</v>
      </c>
      <c r="I487" s="47"/>
      <c r="J487"/>
    </row>
    <row r="488" spans="1:10" s="3" customFormat="1" ht="15.75">
      <c r="A488" s="361" t="s">
        <v>468</v>
      </c>
      <c r="B488" s="38" t="s">
        <v>204</v>
      </c>
      <c r="C488" s="132" t="s">
        <v>127</v>
      </c>
      <c r="D488" s="89" t="s">
        <v>115</v>
      </c>
      <c r="E488" s="29" t="s">
        <v>469</v>
      </c>
      <c r="F488" s="32"/>
      <c r="G488" s="99"/>
      <c r="H488" s="122">
        <f>H489</f>
        <v>0</v>
      </c>
      <c r="I488" s="47"/>
      <c r="J488"/>
    </row>
    <row r="489" spans="1:11" s="3" customFormat="1" ht="15.75">
      <c r="A489" s="236" t="s">
        <v>94</v>
      </c>
      <c r="B489" s="38" t="s">
        <v>204</v>
      </c>
      <c r="C489" s="132" t="s">
        <v>127</v>
      </c>
      <c r="D489" s="89" t="s">
        <v>115</v>
      </c>
      <c r="E489" s="29" t="s">
        <v>469</v>
      </c>
      <c r="F489" s="32"/>
      <c r="G489" s="58" t="s">
        <v>158</v>
      </c>
      <c r="H489" s="122">
        <v>0</v>
      </c>
      <c r="I489" s="47"/>
      <c r="J489"/>
      <c r="K489" s="333"/>
    </row>
    <row r="490" spans="1:10" s="3" customFormat="1" ht="15.75">
      <c r="A490" s="35" t="s">
        <v>86</v>
      </c>
      <c r="B490" s="32" t="s">
        <v>204</v>
      </c>
      <c r="C490" s="33" t="s">
        <v>127</v>
      </c>
      <c r="D490" s="32" t="s">
        <v>119</v>
      </c>
      <c r="E490" s="33"/>
      <c r="F490" s="262"/>
      <c r="G490" s="276"/>
      <c r="H490" s="122">
        <f>H491</f>
        <v>3100</v>
      </c>
      <c r="I490" s="47"/>
      <c r="J490"/>
    </row>
    <row r="491" spans="1:10" s="3" customFormat="1" ht="15.75">
      <c r="A491" s="47" t="s">
        <v>83</v>
      </c>
      <c r="B491" s="28" t="s">
        <v>204</v>
      </c>
      <c r="C491" s="29" t="s">
        <v>127</v>
      </c>
      <c r="D491" s="28" t="s">
        <v>119</v>
      </c>
      <c r="E491" s="29" t="s">
        <v>84</v>
      </c>
      <c r="F491" s="75"/>
      <c r="G491" s="88"/>
      <c r="H491" s="122">
        <f>H492</f>
        <v>3100</v>
      </c>
      <c r="I491" s="47"/>
      <c r="J491"/>
    </row>
    <row r="492" spans="1:10" s="3" customFormat="1" ht="29.25">
      <c r="A492" s="116" t="s">
        <v>259</v>
      </c>
      <c r="B492" s="28" t="s">
        <v>204</v>
      </c>
      <c r="C492" s="29" t="s">
        <v>127</v>
      </c>
      <c r="D492" s="28" t="s">
        <v>119</v>
      </c>
      <c r="E492" s="29" t="s">
        <v>262</v>
      </c>
      <c r="F492" s="75"/>
      <c r="G492" s="88"/>
      <c r="H492" s="122">
        <f>H493</f>
        <v>3100</v>
      </c>
      <c r="I492" s="47"/>
      <c r="J492"/>
    </row>
    <row r="493" spans="1:10" s="3" customFormat="1" ht="15.75">
      <c r="A493" s="47" t="s">
        <v>94</v>
      </c>
      <c r="B493" s="28" t="s">
        <v>204</v>
      </c>
      <c r="C493" s="29" t="s">
        <v>127</v>
      </c>
      <c r="D493" s="28" t="s">
        <v>119</v>
      </c>
      <c r="E493" s="29" t="s">
        <v>262</v>
      </c>
      <c r="F493" s="75"/>
      <c r="G493" s="88" t="s">
        <v>158</v>
      </c>
      <c r="H493" s="122">
        <f>2900+200</f>
        <v>3100</v>
      </c>
      <c r="I493" s="47"/>
      <c r="J493"/>
    </row>
    <row r="494" spans="1:10" s="3" customFormat="1" ht="15.75">
      <c r="A494" s="53" t="s">
        <v>31</v>
      </c>
      <c r="B494" s="85" t="s">
        <v>204</v>
      </c>
      <c r="C494" s="33" t="s">
        <v>130</v>
      </c>
      <c r="D494" s="85"/>
      <c r="E494" s="33"/>
      <c r="F494" s="32"/>
      <c r="G494" s="99"/>
      <c r="H494" s="230">
        <f>H495</f>
        <v>600</v>
      </c>
      <c r="I494" s="127"/>
      <c r="J494"/>
    </row>
    <row r="495" spans="1:10" s="3" customFormat="1" ht="15.75">
      <c r="A495" s="15" t="s">
        <v>32</v>
      </c>
      <c r="B495" s="82" t="s">
        <v>204</v>
      </c>
      <c r="C495" s="59" t="s">
        <v>130</v>
      </c>
      <c r="D495" s="82" t="s">
        <v>127</v>
      </c>
      <c r="E495" s="33"/>
      <c r="F495" s="32"/>
      <c r="G495" s="99"/>
      <c r="H495" s="256">
        <f>H496</f>
        <v>600</v>
      </c>
      <c r="I495" s="47"/>
      <c r="J495"/>
    </row>
    <row r="496" spans="1:10" s="3" customFormat="1" ht="15.75">
      <c r="A496" s="110" t="s">
        <v>83</v>
      </c>
      <c r="B496" s="84" t="s">
        <v>204</v>
      </c>
      <c r="C496" s="29" t="s">
        <v>130</v>
      </c>
      <c r="D496" s="84" t="s">
        <v>127</v>
      </c>
      <c r="E496" s="29" t="s">
        <v>84</v>
      </c>
      <c r="F496" s="28"/>
      <c r="G496" s="58"/>
      <c r="H496" s="256">
        <f>H497</f>
        <v>600</v>
      </c>
      <c r="I496" s="47"/>
      <c r="J496"/>
    </row>
    <row r="497" spans="1:10" s="3" customFormat="1" ht="57.75">
      <c r="A497" s="160" t="s">
        <v>307</v>
      </c>
      <c r="B497" s="89" t="s">
        <v>204</v>
      </c>
      <c r="C497" s="38" t="s">
        <v>130</v>
      </c>
      <c r="D497" s="89" t="s">
        <v>127</v>
      </c>
      <c r="E497" s="29" t="s">
        <v>263</v>
      </c>
      <c r="F497" s="37"/>
      <c r="G497" s="58"/>
      <c r="H497" s="256">
        <f>H498</f>
        <v>600</v>
      </c>
      <c r="I497" s="47"/>
      <c r="J497"/>
    </row>
    <row r="498" spans="1:10" s="3" customFormat="1" ht="16.5" thickBot="1">
      <c r="A498" s="109" t="s">
        <v>94</v>
      </c>
      <c r="B498" s="84" t="s">
        <v>204</v>
      </c>
      <c r="C498" s="29" t="s">
        <v>130</v>
      </c>
      <c r="D498" s="84" t="s">
        <v>127</v>
      </c>
      <c r="E498" s="29" t="s">
        <v>263</v>
      </c>
      <c r="F498" s="28"/>
      <c r="G498" s="58" t="s">
        <v>158</v>
      </c>
      <c r="H498" s="256">
        <v>600</v>
      </c>
      <c r="I498" s="47"/>
      <c r="J498"/>
    </row>
    <row r="499" spans="1:10" s="4" customFormat="1" ht="36.75" thickBot="1">
      <c r="A499" s="231" t="s">
        <v>275</v>
      </c>
      <c r="B499" s="80" t="s">
        <v>205</v>
      </c>
      <c r="C499" s="22"/>
      <c r="D499" s="214"/>
      <c r="E499" s="22"/>
      <c r="F499" s="20"/>
      <c r="G499" s="98"/>
      <c r="H499" s="120">
        <f aca="true" t="shared" si="14" ref="H499:I502">H500</f>
        <v>17718.1</v>
      </c>
      <c r="I499" s="203">
        <f t="shared" si="14"/>
        <v>0</v>
      </c>
      <c r="J499"/>
    </row>
    <row r="500" spans="1:9" ht="15.75">
      <c r="A500" s="15" t="s">
        <v>13</v>
      </c>
      <c r="B500" s="26" t="s">
        <v>205</v>
      </c>
      <c r="C500" s="82" t="s">
        <v>114</v>
      </c>
      <c r="D500" s="59"/>
      <c r="E500" s="33"/>
      <c r="F500" s="36"/>
      <c r="G500" s="93"/>
      <c r="H500" s="263">
        <f>H501+H506</f>
        <v>17718.1</v>
      </c>
      <c r="I500" s="61">
        <f t="shared" si="14"/>
        <v>0</v>
      </c>
    </row>
    <row r="501" spans="1:9" ht="45">
      <c r="A501" s="71" t="s">
        <v>183</v>
      </c>
      <c r="B501" s="33" t="s">
        <v>205</v>
      </c>
      <c r="C501" s="85" t="s">
        <v>114</v>
      </c>
      <c r="D501" s="33" t="s">
        <v>130</v>
      </c>
      <c r="E501" s="33"/>
      <c r="F501" s="32"/>
      <c r="G501" s="86"/>
      <c r="H501" s="165">
        <f>H502+H504</f>
        <v>15220.5</v>
      </c>
      <c r="I501" s="34">
        <f t="shared" si="14"/>
        <v>0</v>
      </c>
    </row>
    <row r="502" spans="1:9" ht="15.75">
      <c r="A502" s="109" t="s">
        <v>37</v>
      </c>
      <c r="B502" s="29" t="s">
        <v>205</v>
      </c>
      <c r="C502" s="84" t="s">
        <v>114</v>
      </c>
      <c r="D502" s="29" t="s">
        <v>130</v>
      </c>
      <c r="E502" s="29" t="s">
        <v>159</v>
      </c>
      <c r="F502" s="28"/>
      <c r="G502" s="69"/>
      <c r="H502" s="122">
        <f t="shared" si="14"/>
        <v>15170.5</v>
      </c>
      <c r="I502" s="30">
        <f t="shared" si="14"/>
        <v>0</v>
      </c>
    </row>
    <row r="503" spans="1:9" ht="15.75">
      <c r="A503" s="109" t="s">
        <v>94</v>
      </c>
      <c r="B503" s="84" t="s">
        <v>205</v>
      </c>
      <c r="C503" s="84" t="s">
        <v>114</v>
      </c>
      <c r="D503" s="29" t="s">
        <v>130</v>
      </c>
      <c r="E503" s="29" t="s">
        <v>159</v>
      </c>
      <c r="F503" s="28" t="s">
        <v>158</v>
      </c>
      <c r="G503" s="69" t="s">
        <v>158</v>
      </c>
      <c r="H503" s="122">
        <f>11682.9-1027+3521.6+993</f>
        <v>15170.5</v>
      </c>
      <c r="I503" s="30"/>
    </row>
    <row r="504" spans="1:9" ht="15.75">
      <c r="A504" s="234" t="s">
        <v>237</v>
      </c>
      <c r="B504" s="67" t="s">
        <v>205</v>
      </c>
      <c r="C504" s="67" t="s">
        <v>114</v>
      </c>
      <c r="D504" s="63" t="s">
        <v>130</v>
      </c>
      <c r="E504" s="63" t="s">
        <v>238</v>
      </c>
      <c r="F504" s="43"/>
      <c r="G504" s="87"/>
      <c r="H504" s="271">
        <f>H505</f>
        <v>50</v>
      </c>
      <c r="I504" s="68"/>
    </row>
    <row r="505" spans="1:9" ht="15.75">
      <c r="A505" s="109" t="s">
        <v>94</v>
      </c>
      <c r="B505" s="84" t="s">
        <v>205</v>
      </c>
      <c r="C505" s="84" t="s">
        <v>114</v>
      </c>
      <c r="D505" s="29" t="s">
        <v>130</v>
      </c>
      <c r="E505" s="29" t="s">
        <v>238</v>
      </c>
      <c r="F505" s="28"/>
      <c r="G505" s="69" t="s">
        <v>158</v>
      </c>
      <c r="H505" s="122">
        <v>50</v>
      </c>
      <c r="I505" s="30"/>
    </row>
    <row r="506" spans="1:9" ht="15.75">
      <c r="A506" s="53" t="s">
        <v>52</v>
      </c>
      <c r="B506" s="85" t="s">
        <v>205</v>
      </c>
      <c r="C506" s="85" t="s">
        <v>114</v>
      </c>
      <c r="D506" s="33" t="s">
        <v>195</v>
      </c>
      <c r="E506" s="33"/>
      <c r="F506" s="32"/>
      <c r="G506" s="86"/>
      <c r="H506" s="165">
        <f>H507</f>
        <v>2497.5999999999995</v>
      </c>
      <c r="I506" s="34"/>
    </row>
    <row r="507" spans="1:9" ht="15.75">
      <c r="A507" s="109" t="s">
        <v>83</v>
      </c>
      <c r="B507" s="84" t="s">
        <v>205</v>
      </c>
      <c r="C507" s="84" t="s">
        <v>114</v>
      </c>
      <c r="D507" s="29" t="s">
        <v>195</v>
      </c>
      <c r="E507" s="29" t="s">
        <v>84</v>
      </c>
      <c r="F507" s="28"/>
      <c r="G507" s="58"/>
      <c r="H507" s="122">
        <f>H508</f>
        <v>2497.5999999999995</v>
      </c>
      <c r="I507" s="30"/>
    </row>
    <row r="508" spans="1:9" ht="43.5">
      <c r="A508" s="111" t="s">
        <v>218</v>
      </c>
      <c r="B508" s="84" t="s">
        <v>205</v>
      </c>
      <c r="C508" s="84" t="s">
        <v>114</v>
      </c>
      <c r="D508" s="29" t="s">
        <v>195</v>
      </c>
      <c r="E508" s="29" t="s">
        <v>136</v>
      </c>
      <c r="F508" s="28"/>
      <c r="G508" s="58"/>
      <c r="H508" s="122">
        <f>H509</f>
        <v>2497.5999999999995</v>
      </c>
      <c r="I508" s="30"/>
    </row>
    <row r="509" spans="1:9" ht="16.5" thickBot="1">
      <c r="A509" s="109" t="s">
        <v>94</v>
      </c>
      <c r="B509" s="84" t="s">
        <v>205</v>
      </c>
      <c r="C509" s="84" t="s">
        <v>114</v>
      </c>
      <c r="D509" s="29" t="s">
        <v>195</v>
      </c>
      <c r="E509" s="29" t="s">
        <v>136</v>
      </c>
      <c r="F509" s="28"/>
      <c r="G509" s="56" t="s">
        <v>158</v>
      </c>
      <c r="H509" s="122">
        <f>5111.8+1067.1-4514.6+833.3</f>
        <v>2497.5999999999995</v>
      </c>
      <c r="I509" s="30"/>
    </row>
    <row r="510" spans="1:9" ht="36.75" thickBot="1">
      <c r="A510" s="231" t="s">
        <v>220</v>
      </c>
      <c r="B510" s="80" t="s">
        <v>206</v>
      </c>
      <c r="C510" s="80"/>
      <c r="D510" s="22"/>
      <c r="E510" s="22"/>
      <c r="F510" s="20"/>
      <c r="G510" s="81"/>
      <c r="H510" s="120">
        <f>H511+H525+H534+H529</f>
        <v>46990.7</v>
      </c>
      <c r="I510" s="23">
        <f>I511+I525+I534</f>
        <v>6702.4</v>
      </c>
    </row>
    <row r="511" spans="1:10" s="3" customFormat="1" ht="15.75">
      <c r="A511" s="15" t="s">
        <v>13</v>
      </c>
      <c r="B511" s="82" t="s">
        <v>206</v>
      </c>
      <c r="C511" s="95" t="s">
        <v>114</v>
      </c>
      <c r="D511" s="26"/>
      <c r="E511" s="33"/>
      <c r="F511" s="36"/>
      <c r="G511" s="101"/>
      <c r="H511" s="27">
        <f>H512</f>
        <v>27832.2</v>
      </c>
      <c r="I511" s="27">
        <f>I512</f>
        <v>0</v>
      </c>
      <c r="J511"/>
    </row>
    <row r="512" spans="1:9" ht="15.75">
      <c r="A512" s="15" t="s">
        <v>52</v>
      </c>
      <c r="B512" s="82" t="s">
        <v>206</v>
      </c>
      <c r="C512" s="82" t="s">
        <v>114</v>
      </c>
      <c r="D512" s="59" t="s">
        <v>195</v>
      </c>
      <c r="E512" s="33"/>
      <c r="F512" s="36"/>
      <c r="G512" s="93"/>
      <c r="H512" s="61">
        <f>H513+H518+H521</f>
        <v>27832.2</v>
      </c>
      <c r="I512" s="61">
        <f>I513+I518</f>
        <v>0</v>
      </c>
    </row>
    <row r="513" spans="1:9" ht="43.5">
      <c r="A513" s="111" t="s">
        <v>161</v>
      </c>
      <c r="B513" s="91" t="s">
        <v>206</v>
      </c>
      <c r="C513" s="84" t="s">
        <v>114</v>
      </c>
      <c r="D513" s="29" t="s">
        <v>195</v>
      </c>
      <c r="E513" s="29" t="s">
        <v>157</v>
      </c>
      <c r="F513" s="28"/>
      <c r="G513" s="69"/>
      <c r="H513" s="30">
        <f>H514+H516</f>
        <v>21084.5</v>
      </c>
      <c r="I513" s="30">
        <f>I514</f>
        <v>0</v>
      </c>
    </row>
    <row r="514" spans="1:9" ht="15.75">
      <c r="A514" s="109" t="s">
        <v>37</v>
      </c>
      <c r="B514" s="91" t="s">
        <v>206</v>
      </c>
      <c r="C514" s="89" t="s">
        <v>114</v>
      </c>
      <c r="D514" s="38" t="s">
        <v>195</v>
      </c>
      <c r="E514" s="38" t="s">
        <v>159</v>
      </c>
      <c r="F514" s="37"/>
      <c r="G514" s="69"/>
      <c r="H514" s="39">
        <f>H515</f>
        <v>21034.5</v>
      </c>
      <c r="I514" s="119"/>
    </row>
    <row r="515" spans="1:10" ht="15.75">
      <c r="A515" s="113" t="s">
        <v>94</v>
      </c>
      <c r="B515" s="91" t="s">
        <v>206</v>
      </c>
      <c r="C515" s="89" t="s">
        <v>114</v>
      </c>
      <c r="D515" s="38" t="s">
        <v>195</v>
      </c>
      <c r="E515" s="38" t="s">
        <v>159</v>
      </c>
      <c r="F515" s="37"/>
      <c r="G515" s="102" t="s">
        <v>158</v>
      </c>
      <c r="H515" s="39">
        <f>16008-745+4197+1267.5+307</f>
        <v>21034.5</v>
      </c>
      <c r="I515" s="119"/>
      <c r="J515" s="375"/>
    </row>
    <row r="516" spans="1:9" ht="15.75">
      <c r="A516" s="184" t="s">
        <v>237</v>
      </c>
      <c r="B516" s="91" t="s">
        <v>206</v>
      </c>
      <c r="C516" s="89" t="s">
        <v>114</v>
      </c>
      <c r="D516" s="38" t="s">
        <v>195</v>
      </c>
      <c r="E516" s="38" t="s">
        <v>238</v>
      </c>
      <c r="F516" s="37"/>
      <c r="G516" s="102"/>
      <c r="H516" s="39">
        <f>H517</f>
        <v>50</v>
      </c>
      <c r="I516" s="119"/>
    </row>
    <row r="517" spans="1:9" ht="15.75">
      <c r="A517" s="113" t="s">
        <v>94</v>
      </c>
      <c r="B517" s="91" t="s">
        <v>206</v>
      </c>
      <c r="C517" s="89" t="s">
        <v>114</v>
      </c>
      <c r="D517" s="38" t="s">
        <v>195</v>
      </c>
      <c r="E517" s="38" t="s">
        <v>238</v>
      </c>
      <c r="F517" s="37"/>
      <c r="G517" s="102" t="s">
        <v>158</v>
      </c>
      <c r="H517" s="39">
        <v>50</v>
      </c>
      <c r="I517" s="119"/>
    </row>
    <row r="518" spans="1:9" ht="29.25">
      <c r="A518" s="111" t="s">
        <v>129</v>
      </c>
      <c r="B518" s="91" t="s">
        <v>206</v>
      </c>
      <c r="C518" s="84" t="s">
        <v>114</v>
      </c>
      <c r="D518" s="29" t="s">
        <v>195</v>
      </c>
      <c r="E518" s="29" t="s">
        <v>87</v>
      </c>
      <c r="F518" s="28"/>
      <c r="G518" s="69"/>
      <c r="H518" s="30">
        <f>H519</f>
        <v>4190</v>
      </c>
      <c r="I518" s="30">
        <f>I519</f>
        <v>0</v>
      </c>
    </row>
    <row r="519" spans="1:9" ht="15.75">
      <c r="A519" s="110" t="s">
        <v>49</v>
      </c>
      <c r="B519" s="91" t="s">
        <v>206</v>
      </c>
      <c r="C519" s="84" t="s">
        <v>114</v>
      </c>
      <c r="D519" s="29" t="s">
        <v>195</v>
      </c>
      <c r="E519" s="29" t="s">
        <v>128</v>
      </c>
      <c r="F519" s="28"/>
      <c r="G519" s="69"/>
      <c r="H519" s="30">
        <f>H520</f>
        <v>4190</v>
      </c>
      <c r="I519" s="30">
        <f>I520</f>
        <v>0</v>
      </c>
    </row>
    <row r="520" spans="1:9" ht="15.75">
      <c r="A520" s="109" t="s">
        <v>94</v>
      </c>
      <c r="B520" s="91" t="s">
        <v>206</v>
      </c>
      <c r="C520" s="89" t="s">
        <v>114</v>
      </c>
      <c r="D520" s="38" t="s">
        <v>195</v>
      </c>
      <c r="E520" s="38" t="s">
        <v>128</v>
      </c>
      <c r="F520" s="37" t="s">
        <v>36</v>
      </c>
      <c r="G520" s="69" t="s">
        <v>158</v>
      </c>
      <c r="H520" s="30">
        <f>500+700+600+1890+500</f>
        <v>4190</v>
      </c>
      <c r="I520" s="47"/>
    </row>
    <row r="521" spans="1:9" ht="15.75">
      <c r="A521" s="109" t="s">
        <v>83</v>
      </c>
      <c r="B521" s="84" t="s">
        <v>206</v>
      </c>
      <c r="C521" s="84" t="s">
        <v>114</v>
      </c>
      <c r="D521" s="29" t="s">
        <v>195</v>
      </c>
      <c r="E521" s="29" t="s">
        <v>84</v>
      </c>
      <c r="F521" s="28"/>
      <c r="G521" s="69"/>
      <c r="H521" s="30">
        <f>H522</f>
        <v>2557.7</v>
      </c>
      <c r="I521" s="47"/>
    </row>
    <row r="522" spans="1:9" ht="43.5">
      <c r="A522" s="111" t="s">
        <v>218</v>
      </c>
      <c r="B522" s="84" t="s">
        <v>206</v>
      </c>
      <c r="C522" s="84" t="s">
        <v>114</v>
      </c>
      <c r="D522" s="29" t="s">
        <v>195</v>
      </c>
      <c r="E522" s="29" t="s">
        <v>136</v>
      </c>
      <c r="F522" s="28"/>
      <c r="G522" s="69"/>
      <c r="H522" s="30">
        <f>H523</f>
        <v>2557.7</v>
      </c>
      <c r="I522" s="47"/>
    </row>
    <row r="523" spans="1:9" ht="15.75">
      <c r="A523" s="109" t="s">
        <v>94</v>
      </c>
      <c r="B523" s="84" t="s">
        <v>206</v>
      </c>
      <c r="C523" s="84" t="s">
        <v>114</v>
      </c>
      <c r="D523" s="29" t="s">
        <v>195</v>
      </c>
      <c r="E523" s="63" t="s">
        <v>136</v>
      </c>
      <c r="F523" s="28"/>
      <c r="G523" s="56" t="s">
        <v>158</v>
      </c>
      <c r="H523" s="30">
        <f>5635+1293.5-4197-1267.5+1093.7</f>
        <v>2557.7</v>
      </c>
      <c r="I523" s="47"/>
    </row>
    <row r="524" spans="1:9" ht="15.75">
      <c r="A524" s="53" t="s">
        <v>42</v>
      </c>
      <c r="B524" s="85" t="s">
        <v>206</v>
      </c>
      <c r="C524" s="82" t="s">
        <v>116</v>
      </c>
      <c r="D524" s="59"/>
      <c r="E524" s="33"/>
      <c r="F524" s="32"/>
      <c r="G524" s="125"/>
      <c r="H524" s="34">
        <f>H525</f>
        <v>1621</v>
      </c>
      <c r="I524" s="35"/>
    </row>
    <row r="525" spans="1:9" ht="15.75">
      <c r="A525" s="15" t="s">
        <v>43</v>
      </c>
      <c r="B525" s="85" t="s">
        <v>206</v>
      </c>
      <c r="C525" s="82" t="s">
        <v>116</v>
      </c>
      <c r="D525" s="59" t="s">
        <v>117</v>
      </c>
      <c r="E525" s="33"/>
      <c r="F525" s="32"/>
      <c r="G525" s="94"/>
      <c r="H525" s="34">
        <f>H526</f>
        <v>1621</v>
      </c>
      <c r="I525" s="35"/>
    </row>
    <row r="526" spans="1:9" ht="31.5" customHeight="1">
      <c r="A526" s="111" t="s">
        <v>72</v>
      </c>
      <c r="B526" s="84" t="s">
        <v>206</v>
      </c>
      <c r="C526" s="91" t="s">
        <v>116</v>
      </c>
      <c r="D526" s="29" t="s">
        <v>117</v>
      </c>
      <c r="E526" s="29" t="s">
        <v>48</v>
      </c>
      <c r="F526" s="28"/>
      <c r="G526" s="69"/>
      <c r="H526" s="30">
        <f>H527</f>
        <v>1621</v>
      </c>
      <c r="I526" s="47"/>
    </row>
    <row r="527" spans="1:9" ht="15.75">
      <c r="A527" s="112" t="s">
        <v>181</v>
      </c>
      <c r="B527" s="84" t="s">
        <v>206</v>
      </c>
      <c r="C527" s="91" t="s">
        <v>116</v>
      </c>
      <c r="D527" s="38" t="s">
        <v>117</v>
      </c>
      <c r="E527" s="38" t="s">
        <v>182</v>
      </c>
      <c r="F527" s="37"/>
      <c r="G527" s="69"/>
      <c r="H527" s="30">
        <f>H528</f>
        <v>1621</v>
      </c>
      <c r="I527" s="47"/>
    </row>
    <row r="528" spans="1:9" ht="15.75">
      <c r="A528" s="109" t="s">
        <v>94</v>
      </c>
      <c r="B528" s="84" t="s">
        <v>206</v>
      </c>
      <c r="C528" s="84" t="s">
        <v>116</v>
      </c>
      <c r="D528" s="29" t="s">
        <v>117</v>
      </c>
      <c r="E528" s="29" t="s">
        <v>182</v>
      </c>
      <c r="F528" s="28"/>
      <c r="G528" s="56" t="s">
        <v>158</v>
      </c>
      <c r="H528" s="30">
        <f>621+1000</f>
        <v>1621</v>
      </c>
      <c r="I528" s="47"/>
    </row>
    <row r="529" spans="1:9" ht="15.75">
      <c r="A529" s="53" t="s">
        <v>16</v>
      </c>
      <c r="B529" s="96" t="s">
        <v>206</v>
      </c>
      <c r="C529" s="64" t="s">
        <v>127</v>
      </c>
      <c r="D529" s="96"/>
      <c r="E529" s="64"/>
      <c r="F529" s="28"/>
      <c r="G529" s="158"/>
      <c r="H529" s="30">
        <f>H530</f>
        <v>1000</v>
      </c>
      <c r="I529" s="47"/>
    </row>
    <row r="530" spans="1:9" ht="15.75">
      <c r="A530" s="53" t="s">
        <v>45</v>
      </c>
      <c r="B530" s="85" t="s">
        <v>206</v>
      </c>
      <c r="C530" s="33" t="s">
        <v>127</v>
      </c>
      <c r="D530" s="85" t="s">
        <v>114</v>
      </c>
      <c r="E530" s="33"/>
      <c r="F530" s="28"/>
      <c r="G530" s="158"/>
      <c r="H530" s="30">
        <f>H531</f>
        <v>1000</v>
      </c>
      <c r="I530" s="47"/>
    </row>
    <row r="531" spans="1:9" ht="15.75">
      <c r="A531" s="259" t="s">
        <v>300</v>
      </c>
      <c r="B531" s="29" t="s">
        <v>206</v>
      </c>
      <c r="C531" s="28" t="s">
        <v>127</v>
      </c>
      <c r="D531" s="29" t="s">
        <v>114</v>
      </c>
      <c r="E531" s="28" t="s">
        <v>299</v>
      </c>
      <c r="F531" s="28" t="s">
        <v>36</v>
      </c>
      <c r="G531" s="58"/>
      <c r="H531" s="30">
        <f>H532</f>
        <v>1000</v>
      </c>
      <c r="I531" s="47"/>
    </row>
    <row r="532" spans="1:9" ht="15.75">
      <c r="A532" s="259" t="s">
        <v>301</v>
      </c>
      <c r="B532" s="29" t="s">
        <v>206</v>
      </c>
      <c r="C532" s="28" t="s">
        <v>127</v>
      </c>
      <c r="D532" s="29" t="s">
        <v>114</v>
      </c>
      <c r="E532" s="28" t="s">
        <v>302</v>
      </c>
      <c r="F532" s="28" t="s">
        <v>36</v>
      </c>
      <c r="G532" s="133"/>
      <c r="H532" s="30">
        <f>H533</f>
        <v>1000</v>
      </c>
      <c r="I532" s="47"/>
    </row>
    <row r="533" spans="1:9" ht="15.75">
      <c r="A533" s="363" t="s">
        <v>94</v>
      </c>
      <c r="B533" s="29" t="s">
        <v>206</v>
      </c>
      <c r="C533" s="28" t="s">
        <v>127</v>
      </c>
      <c r="D533" s="29" t="s">
        <v>114</v>
      </c>
      <c r="E533" s="28" t="s">
        <v>302</v>
      </c>
      <c r="F533" s="28" t="s">
        <v>158</v>
      </c>
      <c r="G533" s="58" t="s">
        <v>158</v>
      </c>
      <c r="H533" s="30">
        <v>1000</v>
      </c>
      <c r="I533" s="47"/>
    </row>
    <row r="534" spans="1:9" ht="15.75">
      <c r="A534" s="15" t="s">
        <v>3</v>
      </c>
      <c r="B534" s="364" t="s">
        <v>206</v>
      </c>
      <c r="C534" s="82" t="s">
        <v>121</v>
      </c>
      <c r="D534" s="63"/>
      <c r="E534" s="49"/>
      <c r="F534" s="48"/>
      <c r="G534" s="159"/>
      <c r="H534" s="61">
        <f>H535+H554</f>
        <v>16537.5</v>
      </c>
      <c r="I534" s="61">
        <f>I535+I554</f>
        <v>6702.4</v>
      </c>
    </row>
    <row r="535" spans="1:9" ht="15.75">
      <c r="A535" s="109" t="s">
        <v>64</v>
      </c>
      <c r="B535" s="33" t="s">
        <v>206</v>
      </c>
      <c r="C535" s="32" t="s">
        <v>121</v>
      </c>
      <c r="D535" s="33" t="s">
        <v>119</v>
      </c>
      <c r="E535" s="132"/>
      <c r="F535" s="28"/>
      <c r="G535" s="69"/>
      <c r="H535" s="30">
        <f>H552+H536+H542+H550</f>
        <v>13162.5</v>
      </c>
      <c r="I535" s="30">
        <f>I552+I536+I542+I550</f>
        <v>3327.4</v>
      </c>
    </row>
    <row r="536" spans="1:9" ht="15.75">
      <c r="A536" s="109" t="s">
        <v>388</v>
      </c>
      <c r="B536" s="29" t="s">
        <v>206</v>
      </c>
      <c r="C536" s="28" t="s">
        <v>121</v>
      </c>
      <c r="D536" s="29" t="s">
        <v>119</v>
      </c>
      <c r="E536" s="75" t="s">
        <v>390</v>
      </c>
      <c r="F536" s="76"/>
      <c r="G536" s="69"/>
      <c r="H536" s="30">
        <f>H537</f>
        <v>1026</v>
      </c>
      <c r="I536" s="30">
        <f>I537</f>
        <v>1026</v>
      </c>
    </row>
    <row r="537" spans="1:9" ht="15.75">
      <c r="A537" s="111" t="s">
        <v>389</v>
      </c>
      <c r="B537" s="29" t="s">
        <v>206</v>
      </c>
      <c r="C537" s="28" t="s">
        <v>121</v>
      </c>
      <c r="D537" s="29" t="s">
        <v>119</v>
      </c>
      <c r="E537" s="75" t="s">
        <v>391</v>
      </c>
      <c r="F537" s="76"/>
      <c r="G537" s="69"/>
      <c r="H537" s="30">
        <f>H538+H540</f>
        <v>1026</v>
      </c>
      <c r="I537" s="30">
        <f>I538+I540</f>
        <v>1026</v>
      </c>
    </row>
    <row r="538" spans="1:9" ht="29.25">
      <c r="A538" s="111" t="s">
        <v>461</v>
      </c>
      <c r="B538" s="29" t="s">
        <v>206</v>
      </c>
      <c r="C538" s="28" t="s">
        <v>121</v>
      </c>
      <c r="D538" s="29" t="s">
        <v>119</v>
      </c>
      <c r="E538" s="75" t="s">
        <v>392</v>
      </c>
      <c r="F538" s="76"/>
      <c r="G538" s="69"/>
      <c r="H538" s="30">
        <f>H539</f>
        <v>0</v>
      </c>
      <c r="I538" s="47"/>
    </row>
    <row r="539" spans="1:9" ht="15.75">
      <c r="A539" s="109" t="s">
        <v>429</v>
      </c>
      <c r="B539" s="29" t="s">
        <v>206</v>
      </c>
      <c r="C539" s="28" t="s">
        <v>121</v>
      </c>
      <c r="D539" s="29" t="s">
        <v>119</v>
      </c>
      <c r="E539" s="75" t="s">
        <v>392</v>
      </c>
      <c r="F539" s="76"/>
      <c r="G539" s="69" t="s">
        <v>428</v>
      </c>
      <c r="H539" s="30">
        <f>15012-15012</f>
        <v>0</v>
      </c>
      <c r="I539" s="47"/>
    </row>
    <row r="540" spans="1:9" ht="15.75">
      <c r="A540" s="109" t="s">
        <v>462</v>
      </c>
      <c r="B540" s="29" t="s">
        <v>206</v>
      </c>
      <c r="C540" s="28" t="s">
        <v>121</v>
      </c>
      <c r="D540" s="29" t="s">
        <v>119</v>
      </c>
      <c r="E540" s="28" t="s">
        <v>460</v>
      </c>
      <c r="F540" s="28"/>
      <c r="G540" s="69"/>
      <c r="H540" s="30">
        <f>H541</f>
        <v>1026</v>
      </c>
      <c r="I540" s="30">
        <f>I541</f>
        <v>1026</v>
      </c>
    </row>
    <row r="541" spans="1:9" ht="15.75">
      <c r="A541" s="109" t="s">
        <v>429</v>
      </c>
      <c r="B541" s="29" t="s">
        <v>206</v>
      </c>
      <c r="C541" s="28" t="s">
        <v>121</v>
      </c>
      <c r="D541" s="29" t="s">
        <v>119</v>
      </c>
      <c r="E541" s="28" t="s">
        <v>460</v>
      </c>
      <c r="F541" s="28"/>
      <c r="G541" s="69" t="s">
        <v>428</v>
      </c>
      <c r="H541" s="30">
        <v>1026</v>
      </c>
      <c r="I541" s="30">
        <v>1026</v>
      </c>
    </row>
    <row r="542" spans="1:9" ht="15.75">
      <c r="A542" s="111" t="s">
        <v>147</v>
      </c>
      <c r="B542" s="29" t="s">
        <v>206</v>
      </c>
      <c r="C542" s="28" t="s">
        <v>121</v>
      </c>
      <c r="D542" s="29" t="s">
        <v>119</v>
      </c>
      <c r="E542" s="28" t="s">
        <v>58</v>
      </c>
      <c r="F542" s="28"/>
      <c r="G542" s="69"/>
      <c r="H542" s="30">
        <f>H543</f>
        <v>6392.6</v>
      </c>
      <c r="I542" s="30">
        <f>I543</f>
        <v>715.5</v>
      </c>
    </row>
    <row r="543" spans="1:9" ht="114.75" customHeight="1">
      <c r="A543" s="314" t="s">
        <v>393</v>
      </c>
      <c r="B543" s="29" t="s">
        <v>206</v>
      </c>
      <c r="C543" s="28" t="s">
        <v>121</v>
      </c>
      <c r="D543" s="29" t="s">
        <v>119</v>
      </c>
      <c r="E543" s="28" t="s">
        <v>394</v>
      </c>
      <c r="F543" s="28" t="s">
        <v>36</v>
      </c>
      <c r="G543" s="69"/>
      <c r="H543" s="30">
        <f>H546+H544</f>
        <v>6392.6</v>
      </c>
      <c r="I543" s="30">
        <f>I546+I544</f>
        <v>715.5</v>
      </c>
    </row>
    <row r="544" spans="1:9" ht="72" customHeight="1">
      <c r="A544" s="387" t="s">
        <v>452</v>
      </c>
      <c r="B544" s="138" t="s">
        <v>206</v>
      </c>
      <c r="C544" s="139" t="s">
        <v>121</v>
      </c>
      <c r="D544" s="138" t="s">
        <v>119</v>
      </c>
      <c r="E544" s="139" t="s">
        <v>453</v>
      </c>
      <c r="F544" s="139" t="s">
        <v>36</v>
      </c>
      <c r="G544" s="142"/>
      <c r="H544" s="66">
        <f>H545</f>
        <v>0</v>
      </c>
      <c r="I544" s="66">
        <f>I545</f>
        <v>0</v>
      </c>
    </row>
    <row r="545" spans="1:9" ht="15.75">
      <c r="A545" s="185" t="s">
        <v>429</v>
      </c>
      <c r="B545" s="138" t="s">
        <v>206</v>
      </c>
      <c r="C545" s="139" t="s">
        <v>121</v>
      </c>
      <c r="D545" s="138" t="s">
        <v>119</v>
      </c>
      <c r="E545" s="139" t="s">
        <v>453</v>
      </c>
      <c r="F545" s="139" t="s">
        <v>38</v>
      </c>
      <c r="G545" s="142" t="s">
        <v>428</v>
      </c>
      <c r="H545" s="66">
        <f>1674-1674</f>
        <v>0</v>
      </c>
      <c r="I545" s="66">
        <f>1674-1674</f>
        <v>0</v>
      </c>
    </row>
    <row r="546" spans="1:9" ht="57.75">
      <c r="A546" s="168" t="s">
        <v>395</v>
      </c>
      <c r="B546" s="138" t="s">
        <v>206</v>
      </c>
      <c r="C546" s="139" t="s">
        <v>121</v>
      </c>
      <c r="D546" s="138" t="s">
        <v>119</v>
      </c>
      <c r="E546" s="139" t="s">
        <v>396</v>
      </c>
      <c r="F546" s="139" t="s">
        <v>36</v>
      </c>
      <c r="G546" s="142"/>
      <c r="H546" s="66">
        <f>H547</f>
        <v>6392.6</v>
      </c>
      <c r="I546" s="66">
        <f>I547</f>
        <v>715.5</v>
      </c>
    </row>
    <row r="547" spans="1:9" ht="15.75">
      <c r="A547" s="185" t="s">
        <v>429</v>
      </c>
      <c r="B547" s="138" t="s">
        <v>206</v>
      </c>
      <c r="C547" s="139" t="s">
        <v>121</v>
      </c>
      <c r="D547" s="138" t="s">
        <v>119</v>
      </c>
      <c r="E547" s="139" t="s">
        <v>396</v>
      </c>
      <c r="F547" s="139" t="s">
        <v>38</v>
      </c>
      <c r="G547" s="142" t="s">
        <v>428</v>
      </c>
      <c r="H547" s="66">
        <f>3092.4+2584.7+2389.5-1674</f>
        <v>6392.6</v>
      </c>
      <c r="I547" s="140">
        <f>2389.5-1674</f>
        <v>715.5</v>
      </c>
    </row>
    <row r="548" spans="1:9" ht="29.25">
      <c r="A548" s="111" t="s">
        <v>280</v>
      </c>
      <c r="B548" s="29" t="s">
        <v>206</v>
      </c>
      <c r="C548" s="28" t="s">
        <v>121</v>
      </c>
      <c r="D548" s="29" t="s">
        <v>119</v>
      </c>
      <c r="E548" s="28" t="s">
        <v>279</v>
      </c>
      <c r="F548" s="28"/>
      <c r="G548" s="69"/>
      <c r="H548" s="30">
        <f>H549</f>
        <v>1585.9</v>
      </c>
      <c r="I548" s="30">
        <f>I549</f>
        <v>1585.9</v>
      </c>
    </row>
    <row r="549" spans="1:9" ht="15.75">
      <c r="A549" s="109" t="s">
        <v>459</v>
      </c>
      <c r="B549" s="29" t="s">
        <v>206</v>
      </c>
      <c r="C549" s="28" t="s">
        <v>121</v>
      </c>
      <c r="D549" s="29" t="s">
        <v>119</v>
      </c>
      <c r="E549" s="28" t="s">
        <v>458</v>
      </c>
      <c r="F549" s="28"/>
      <c r="G549" s="69"/>
      <c r="H549" s="30">
        <f>H550</f>
        <v>1585.9</v>
      </c>
      <c r="I549" s="30">
        <f>I550</f>
        <v>1585.9</v>
      </c>
    </row>
    <row r="550" spans="1:9" ht="15.75">
      <c r="A550" s="109" t="s">
        <v>429</v>
      </c>
      <c r="B550" s="29" t="s">
        <v>206</v>
      </c>
      <c r="C550" s="28" t="s">
        <v>121</v>
      </c>
      <c r="D550" s="29" t="s">
        <v>119</v>
      </c>
      <c r="E550" s="28" t="s">
        <v>458</v>
      </c>
      <c r="F550" s="28"/>
      <c r="G550" s="69" t="s">
        <v>428</v>
      </c>
      <c r="H550" s="30">
        <v>1585.9</v>
      </c>
      <c r="I550" s="47">
        <v>1585.9</v>
      </c>
    </row>
    <row r="551" spans="1:9" ht="15.75">
      <c r="A551" s="109" t="s">
        <v>83</v>
      </c>
      <c r="B551" s="29" t="s">
        <v>206</v>
      </c>
      <c r="C551" s="28" t="s">
        <v>121</v>
      </c>
      <c r="D551" s="29" t="s">
        <v>119</v>
      </c>
      <c r="E551" s="132" t="s">
        <v>84</v>
      </c>
      <c r="F551" s="28"/>
      <c r="G551" s="69"/>
      <c r="H551" s="30">
        <f>H552</f>
        <v>4158</v>
      </c>
      <c r="I551" s="47"/>
    </row>
    <row r="552" spans="1:9" ht="29.25">
      <c r="A552" s="111" t="s">
        <v>260</v>
      </c>
      <c r="B552" s="29" t="s">
        <v>206</v>
      </c>
      <c r="C552" s="28" t="s">
        <v>121</v>
      </c>
      <c r="D552" s="29" t="s">
        <v>119</v>
      </c>
      <c r="E552" s="132" t="s">
        <v>267</v>
      </c>
      <c r="F552" s="28"/>
      <c r="G552" s="57"/>
      <c r="H552" s="30">
        <f>H553</f>
        <v>4158</v>
      </c>
      <c r="I552" s="47"/>
    </row>
    <row r="553" spans="1:9" ht="15.75">
      <c r="A553" s="109" t="s">
        <v>94</v>
      </c>
      <c r="B553" s="84" t="s">
        <v>206</v>
      </c>
      <c r="C553" s="84" t="s">
        <v>121</v>
      </c>
      <c r="D553" s="29" t="s">
        <v>119</v>
      </c>
      <c r="E553" s="29" t="s">
        <v>267</v>
      </c>
      <c r="F553" s="28"/>
      <c r="G553" s="56" t="s">
        <v>158</v>
      </c>
      <c r="H553" s="30">
        <f>827+1738.3+1592.7</f>
        <v>4158</v>
      </c>
      <c r="I553" s="47"/>
    </row>
    <row r="554" spans="1:9" ht="15.75">
      <c r="A554" s="109" t="s">
        <v>169</v>
      </c>
      <c r="B554" s="84" t="s">
        <v>206</v>
      </c>
      <c r="C554" s="84" t="s">
        <v>121</v>
      </c>
      <c r="D554" s="29" t="s">
        <v>116</v>
      </c>
      <c r="E554" s="29"/>
      <c r="F554" s="28"/>
      <c r="G554" s="56"/>
      <c r="H554" s="30">
        <f aca="true" t="shared" si="15" ref="H554:I556">H555</f>
        <v>3375</v>
      </c>
      <c r="I554" s="30">
        <f t="shared" si="15"/>
        <v>3375</v>
      </c>
    </row>
    <row r="555" spans="1:9" ht="43.5">
      <c r="A555" s="111" t="s">
        <v>457</v>
      </c>
      <c r="B555" s="84" t="s">
        <v>206</v>
      </c>
      <c r="C555" s="84" t="s">
        <v>121</v>
      </c>
      <c r="D555" s="29" t="s">
        <v>116</v>
      </c>
      <c r="E555" s="29" t="s">
        <v>455</v>
      </c>
      <c r="F555" s="28"/>
      <c r="G555" s="56"/>
      <c r="H555" s="30">
        <f t="shared" si="15"/>
        <v>3375</v>
      </c>
      <c r="I555" s="30">
        <f t="shared" si="15"/>
        <v>3375</v>
      </c>
    </row>
    <row r="556" spans="1:9" ht="57.75">
      <c r="A556" s="111" t="s">
        <v>454</v>
      </c>
      <c r="B556" s="84" t="s">
        <v>206</v>
      </c>
      <c r="C556" s="84" t="s">
        <v>121</v>
      </c>
      <c r="D556" s="29" t="s">
        <v>116</v>
      </c>
      <c r="E556" s="29" t="s">
        <v>456</v>
      </c>
      <c r="F556" s="28"/>
      <c r="G556" s="56"/>
      <c r="H556" s="30">
        <f t="shared" si="15"/>
        <v>3375</v>
      </c>
      <c r="I556" s="30">
        <f t="shared" si="15"/>
        <v>3375</v>
      </c>
    </row>
    <row r="557" spans="1:9" ht="16.5" thickBot="1">
      <c r="A557" s="112" t="s">
        <v>131</v>
      </c>
      <c r="B557" s="91" t="s">
        <v>206</v>
      </c>
      <c r="C557" s="91" t="s">
        <v>121</v>
      </c>
      <c r="D557" s="49" t="s">
        <v>116</v>
      </c>
      <c r="E557" s="49" t="s">
        <v>456</v>
      </c>
      <c r="F557" s="43"/>
      <c r="G557" s="159" t="s">
        <v>425</v>
      </c>
      <c r="H557" s="68">
        <v>3375</v>
      </c>
      <c r="I557" s="68">
        <v>3375</v>
      </c>
    </row>
    <row r="558" spans="1:9" ht="36.75" thickBot="1">
      <c r="A558" s="231" t="s">
        <v>439</v>
      </c>
      <c r="B558" s="80" t="s">
        <v>437</v>
      </c>
      <c r="C558" s="327"/>
      <c r="D558" s="328"/>
      <c r="E558" s="328"/>
      <c r="F558" s="52"/>
      <c r="G558" s="329"/>
      <c r="H558" s="23">
        <f>H559</f>
        <v>1500</v>
      </c>
      <c r="I558" s="330"/>
    </row>
    <row r="559" spans="1:9" ht="15.75">
      <c r="A559" s="15" t="s">
        <v>13</v>
      </c>
      <c r="B559" s="26" t="s">
        <v>437</v>
      </c>
      <c r="C559" s="82" t="s">
        <v>114</v>
      </c>
      <c r="D559" s="59"/>
      <c r="E559" s="33"/>
      <c r="F559" s="36"/>
      <c r="G559" s="93"/>
      <c r="H559" s="332">
        <f>H560+H563</f>
        <v>1500</v>
      </c>
      <c r="I559" s="331"/>
    </row>
    <row r="560" spans="1:9" ht="45">
      <c r="A560" s="71" t="s">
        <v>183</v>
      </c>
      <c r="B560" s="33" t="s">
        <v>437</v>
      </c>
      <c r="C560" s="85" t="s">
        <v>114</v>
      </c>
      <c r="D560" s="33" t="s">
        <v>130</v>
      </c>
      <c r="E560" s="33"/>
      <c r="F560" s="32"/>
      <c r="G560" s="86"/>
      <c r="H560" s="30">
        <f>H561</f>
        <v>1500</v>
      </c>
      <c r="I560" s="47"/>
    </row>
    <row r="561" spans="1:9" ht="15.75">
      <c r="A561" s="109" t="s">
        <v>37</v>
      </c>
      <c r="B561" s="29" t="s">
        <v>437</v>
      </c>
      <c r="C561" s="84" t="s">
        <v>114</v>
      </c>
      <c r="D561" s="29" t="s">
        <v>130</v>
      </c>
      <c r="E561" s="29" t="s">
        <v>159</v>
      </c>
      <c r="F561" s="28"/>
      <c r="G561" s="69"/>
      <c r="H561" s="30">
        <f>H562</f>
        <v>1500</v>
      </c>
      <c r="I561" s="47"/>
    </row>
    <row r="562" spans="1:9" ht="16.5" thickBot="1">
      <c r="A562" s="109" t="s">
        <v>94</v>
      </c>
      <c r="B562" s="84" t="s">
        <v>437</v>
      </c>
      <c r="C562" s="84" t="s">
        <v>114</v>
      </c>
      <c r="D562" s="29" t="s">
        <v>130</v>
      </c>
      <c r="E562" s="29" t="s">
        <v>159</v>
      </c>
      <c r="F562" s="28" t="s">
        <v>158</v>
      </c>
      <c r="G562" s="69" t="s">
        <v>158</v>
      </c>
      <c r="H562" s="30">
        <v>1500</v>
      </c>
      <c r="I562" s="47"/>
    </row>
    <row r="563" spans="1:9" ht="15.75" hidden="1">
      <c r="A563" s="53" t="s">
        <v>52</v>
      </c>
      <c r="B563" s="85" t="s">
        <v>437</v>
      </c>
      <c r="C563" s="85" t="s">
        <v>114</v>
      </c>
      <c r="D563" s="33" t="s">
        <v>195</v>
      </c>
      <c r="E563" s="33"/>
      <c r="F563" s="32"/>
      <c r="G563" s="86"/>
      <c r="H563" s="30">
        <f>H564</f>
        <v>0</v>
      </c>
      <c r="I563" s="47"/>
    </row>
    <row r="564" spans="1:9" ht="15.75" hidden="1">
      <c r="A564" s="109" t="s">
        <v>83</v>
      </c>
      <c r="B564" s="84" t="s">
        <v>437</v>
      </c>
      <c r="C564" s="84" t="s">
        <v>114</v>
      </c>
      <c r="D564" s="29" t="s">
        <v>195</v>
      </c>
      <c r="E564" s="29" t="s">
        <v>84</v>
      </c>
      <c r="F564" s="28"/>
      <c r="G564" s="69"/>
      <c r="H564" s="30">
        <f>H565</f>
        <v>0</v>
      </c>
      <c r="I564" s="47"/>
    </row>
    <row r="565" spans="1:9" ht="43.5" hidden="1">
      <c r="A565" s="111" t="s">
        <v>218</v>
      </c>
      <c r="B565" s="84" t="s">
        <v>437</v>
      </c>
      <c r="C565" s="84" t="s">
        <v>114</v>
      </c>
      <c r="D565" s="29" t="s">
        <v>195</v>
      </c>
      <c r="E565" s="29" t="s">
        <v>136</v>
      </c>
      <c r="F565" s="28"/>
      <c r="G565" s="69"/>
      <c r="H565" s="30">
        <f>H566</f>
        <v>0</v>
      </c>
      <c r="I565" s="47"/>
    </row>
    <row r="566" spans="1:9" ht="15.75" hidden="1">
      <c r="A566" s="110" t="s">
        <v>94</v>
      </c>
      <c r="B566" s="89" t="s">
        <v>437</v>
      </c>
      <c r="C566" s="89" t="s">
        <v>114</v>
      </c>
      <c r="D566" s="38" t="s">
        <v>195</v>
      </c>
      <c r="E566" s="38" t="s">
        <v>136</v>
      </c>
      <c r="F566" s="37"/>
      <c r="G566" s="158" t="s">
        <v>158</v>
      </c>
      <c r="H566" s="39"/>
      <c r="I566" s="119"/>
    </row>
    <row r="567" spans="1:12" ht="44.25" customHeight="1" thickBot="1">
      <c r="A567" s="356" t="s">
        <v>46</v>
      </c>
      <c r="B567" s="161" t="s">
        <v>36</v>
      </c>
      <c r="C567" s="357" t="s">
        <v>35</v>
      </c>
      <c r="D567" s="358" t="s">
        <v>80</v>
      </c>
      <c r="E567" s="359" t="s">
        <v>34</v>
      </c>
      <c r="F567" s="357"/>
      <c r="G567" s="360" t="s">
        <v>36</v>
      </c>
      <c r="H567" s="161">
        <f>H12+H257+H366+H468+H510+H499+K522+H454+H558</f>
        <v>3338101.2000000007</v>
      </c>
      <c r="I567" s="161">
        <f>I12+I257+I366+I468+I510+I499+L522+I454+I558</f>
        <v>1855236.5</v>
      </c>
      <c r="K567" s="336"/>
      <c r="L567" s="108"/>
    </row>
    <row r="568" ht="15.75">
      <c r="L568" s="108"/>
    </row>
    <row r="569" ht="15.75">
      <c r="J569" s="249"/>
    </row>
    <row r="570" spans="8:10" ht="15.75">
      <c r="H570" s="365"/>
      <c r="I570" s="365"/>
      <c r="J570" s="249"/>
    </row>
    <row r="571" spans="6:10" ht="15.75">
      <c r="F571" s="17" t="s">
        <v>36</v>
      </c>
      <c r="J571" s="249"/>
    </row>
    <row r="572" spans="6:10" ht="15" customHeight="1">
      <c r="F572" s="17" t="s">
        <v>36</v>
      </c>
      <c r="J572" s="385"/>
    </row>
    <row r="573" ht="15.75">
      <c r="F573" s="17" t="s">
        <v>36</v>
      </c>
    </row>
    <row r="574" ht="15.75">
      <c r="F574" s="17" t="s">
        <v>38</v>
      </c>
    </row>
    <row r="575" ht="15.75">
      <c r="F575" s="235"/>
    </row>
    <row r="576" ht="15.75">
      <c r="F576" s="235"/>
    </row>
  </sheetData>
  <sheetProtection/>
  <mergeCells count="15">
    <mergeCell ref="H5:I5"/>
    <mergeCell ref="H6:I6"/>
    <mergeCell ref="H1:I1"/>
    <mergeCell ref="H2:I2"/>
    <mergeCell ref="H3:I3"/>
    <mergeCell ref="H4:I4"/>
    <mergeCell ref="C10:C11"/>
    <mergeCell ref="D10:D11"/>
    <mergeCell ref="E10:E11"/>
    <mergeCell ref="A8:I8"/>
    <mergeCell ref="H10:H11"/>
    <mergeCell ref="I10:I11"/>
    <mergeCell ref="A10:A11"/>
    <mergeCell ref="G10:G11"/>
    <mergeCell ref="B10:B11"/>
  </mergeCells>
  <printOptions horizontalCentered="1"/>
  <pageMargins left="0.2362204724409449" right="0.18" top="0.35433070866141736" bottom="0.2755905511811024" header="0.6299212598425197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Для проверки компьютеров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TMG</dc:creator>
  <cp:keywords/>
  <dc:description/>
  <cp:lastModifiedBy>Администрация</cp:lastModifiedBy>
  <cp:lastPrinted>2012-10-18T11:05:17Z</cp:lastPrinted>
  <dcterms:created xsi:type="dcterms:W3CDTF">2002-11-11T07:39:40Z</dcterms:created>
  <dcterms:modified xsi:type="dcterms:W3CDTF">2012-10-22T13:28:46Z</dcterms:modified>
  <cp:category/>
  <cp:version/>
  <cp:contentType/>
  <cp:contentStatus/>
</cp:coreProperties>
</file>