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1"/>
  </bookViews>
  <sheets>
    <sheet name="Прилож №2" sheetId="1" r:id="rId1"/>
    <sheet name="Прилож №3" sheetId="2" r:id="rId2"/>
  </sheets>
  <definedNames/>
  <calcPr fullCalcOnLoad="1"/>
</workbook>
</file>

<file path=xl/sharedStrings.xml><?xml version="1.0" encoding="utf-8"?>
<sst xmlns="http://schemas.openxmlformats.org/spreadsheetml/2006/main" count="4132" uniqueCount="491">
  <si>
    <t>Наименование</t>
  </si>
  <si>
    <t>027</t>
  </si>
  <si>
    <t>029</t>
  </si>
  <si>
    <t>Коммунальное хозяйство</t>
  </si>
  <si>
    <t>443</t>
  </si>
  <si>
    <t>Социальная политика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</si>
  <si>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</si>
  <si>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</si>
  <si>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</si>
  <si>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</si>
  <si>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262</t>
  </si>
  <si>
    <t>264</t>
  </si>
  <si>
    <t>319</t>
  </si>
  <si>
    <t>Музеи и постоянные выставки</t>
  </si>
  <si>
    <t>Библиотеки</t>
  </si>
  <si>
    <t>327</t>
  </si>
  <si>
    <t>Резервные фонды</t>
  </si>
  <si>
    <t>Общегосударственные  вопросы</t>
  </si>
  <si>
    <t>Руководство и управление в сфере установленных  функций</t>
  </si>
  <si>
    <t>070 00 00</t>
  </si>
  <si>
    <t>Органы внутренних дел</t>
  </si>
  <si>
    <t>Мероприятия по гражданской обороне</t>
  </si>
  <si>
    <t>219 00 00</t>
  </si>
  <si>
    <t>Жилищно-коммунальное хозяйство</t>
  </si>
  <si>
    <t>Поддержка жилищного хозяйства</t>
  </si>
  <si>
    <t>350 00 00</t>
  </si>
  <si>
    <t>420 00 00</t>
  </si>
  <si>
    <t>Обеспечение деятельности подведомственных учреждений</t>
  </si>
  <si>
    <t>421 00 00</t>
  </si>
  <si>
    <t>Молодежная политика и оздоровление детей</t>
  </si>
  <si>
    <t>432 00 00</t>
  </si>
  <si>
    <t>Учреждения по внешкольной работе с детьми</t>
  </si>
  <si>
    <t>423 00 00</t>
  </si>
  <si>
    <t>Другие вопросы в области образования</t>
  </si>
  <si>
    <t>Культура</t>
  </si>
  <si>
    <t>440 00 00</t>
  </si>
  <si>
    <t>441 00 00</t>
  </si>
  <si>
    <t>442 00 00</t>
  </si>
  <si>
    <t>443 00 00</t>
  </si>
  <si>
    <t>450 00 00</t>
  </si>
  <si>
    <t>452 00 00</t>
  </si>
  <si>
    <t>Больницы, клиники, госпитали,медико-санитарные части</t>
  </si>
  <si>
    <t>470 00 00</t>
  </si>
  <si>
    <t>Охрана окружающей среды</t>
  </si>
  <si>
    <t>Другие вопросы в области охраны окружающей среды</t>
  </si>
  <si>
    <t>Другие вопросы в области здравоохранения и спорта</t>
  </si>
  <si>
    <t>Пенсионное обеспечение</t>
  </si>
  <si>
    <t>000 00 00</t>
  </si>
  <si>
    <t>0000</t>
  </si>
  <si>
    <t>000</t>
  </si>
  <si>
    <t>Центральный аппарат</t>
  </si>
  <si>
    <t>005</t>
  </si>
  <si>
    <t>202 00 00</t>
  </si>
  <si>
    <t>Вещевое обеспечение</t>
  </si>
  <si>
    <t>Поддержка коммунального хозяйства</t>
  </si>
  <si>
    <t>Администрация города</t>
  </si>
  <si>
    <t>КОД</t>
  </si>
  <si>
    <t>Раздел</t>
  </si>
  <si>
    <t>статья</t>
  </si>
  <si>
    <t>Вид</t>
  </si>
  <si>
    <t>Всего</t>
  </si>
  <si>
    <t>Целев.</t>
  </si>
  <si>
    <t>002</t>
  </si>
  <si>
    <t>Под-</t>
  </si>
  <si>
    <t>раздел</t>
  </si>
  <si>
    <t>Национальная экономика</t>
  </si>
  <si>
    <t>Другие вопросы в области национальной экономики</t>
  </si>
  <si>
    <t>003</t>
  </si>
  <si>
    <t>Управление культуры</t>
  </si>
  <si>
    <t>004</t>
  </si>
  <si>
    <t>Жилищное хозяйство</t>
  </si>
  <si>
    <t>102 00 00</t>
  </si>
  <si>
    <t>214</t>
  </si>
  <si>
    <t>ИТОГО РАСХОДОВ</t>
  </si>
  <si>
    <t>ВСЕГО РАСХОДОВ</t>
  </si>
  <si>
    <t>351 00 00</t>
  </si>
  <si>
    <t>340 00 00</t>
  </si>
  <si>
    <t>Выполнение других обязательств государства</t>
  </si>
  <si>
    <t>Центры спортивной подготовки (сборные команды)</t>
  </si>
  <si>
    <t>482 00 00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</si>
  <si>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</si>
  <si>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</si>
  <si>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</si>
  <si>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209 00 00</t>
  </si>
  <si>
    <t>247 00 00</t>
  </si>
  <si>
    <t>Воинские формирования ( органы, подразделения)</t>
  </si>
  <si>
    <t>001</t>
  </si>
  <si>
    <t>006</t>
  </si>
  <si>
    <t>007</t>
  </si>
  <si>
    <t>в том числе</t>
  </si>
  <si>
    <t>505 00 00</t>
  </si>
  <si>
    <t>483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</si>
  <si>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</si>
  <si>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</si>
  <si>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</si>
  <si>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520 00 00</t>
  </si>
  <si>
    <t>Социальное обеспечение населения</t>
  </si>
  <si>
    <t>Ежемесячное денежное вознаграждение за классное руководство</t>
  </si>
  <si>
    <t>Транспорт</t>
  </si>
  <si>
    <t>Дорожное хозяйство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</si>
  <si>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</si>
  <si>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 и средств массовой информаци</t>
  </si>
  <si>
    <t>Функционирование  высшего должностного лица субъекта РФ и органа местного самоуправления</t>
  </si>
  <si>
    <t>Функционирование Правительства РФ, высших органов исполнительной власти субъектов РФ, местных администраций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</si>
  <si>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</si>
  <si>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</si>
  <si>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Пособия и компенсации военнослужащим, приравненным к ним лицам, а также уволенным из их числа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</si>
  <si>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</si>
  <si>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 с обеспечением национальной безопасности и правоохранительной деятельности</t>
  </si>
  <si>
    <t>Реализация государственных функций в области национальной экономики</t>
  </si>
  <si>
    <t>Школы-детские сады,школы начальные,неполные средние и средние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</si>
  <si>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</si>
  <si>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Театры, цирки, концертные и другие организации исполнительских искусств</t>
  </si>
  <si>
    <t>Другие вопросы в области культуры, кинематографии и средств массовой информации</t>
  </si>
  <si>
    <t>Доплаты к пенсиям государственных служащих субъектов РФ и муниципальных служащих</t>
  </si>
  <si>
    <t>Национальная безопасность и правоохранительная деятельность</t>
  </si>
  <si>
    <t>Культура,кинематография и средства массовой информации</t>
  </si>
  <si>
    <t>Муниципальное учреждение здравоохранения  "ДЦГБ"</t>
  </si>
  <si>
    <t>Подготовка населения и организаций к действиям в чрезвычайной ситуации в мирное и военное время</t>
  </si>
  <si>
    <t>Дворцы и  дома культуры, другие учреждения культуры и средств массовой информации</t>
  </si>
  <si>
    <t>Комитет по физической культуре, спорту,туризму  и делам молодежи</t>
  </si>
  <si>
    <t xml:space="preserve"> Комитет по управлению имуществом г. Долгопрудный</t>
  </si>
  <si>
    <t xml:space="preserve">           Управление образования</t>
  </si>
  <si>
    <t>Управление администрации города по работе в микрорайонах Шереметьевский,Хлебниково,Павельцево</t>
  </si>
  <si>
    <t xml:space="preserve">                                     Наименование</t>
  </si>
  <si>
    <t>Иные безвозмездные и безвозвратные перечисления</t>
  </si>
  <si>
    <t>00</t>
  </si>
  <si>
    <t>012</t>
  </si>
  <si>
    <t>013</t>
  </si>
  <si>
    <t>014</t>
  </si>
  <si>
    <t>Другие вопросы в области социальной политики</t>
  </si>
  <si>
    <t>Целевые программы муниципальных образований</t>
  </si>
  <si>
    <t>795 00 00</t>
  </si>
  <si>
    <t>482</t>
  </si>
  <si>
    <t>Благоустройство</t>
  </si>
  <si>
    <t>806</t>
  </si>
  <si>
    <t>807</t>
  </si>
  <si>
    <t>Озеленение</t>
  </si>
  <si>
    <t>092 00 00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</si>
  <si>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</si>
  <si>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</si>
  <si>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</si>
  <si>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260</t>
  </si>
  <si>
    <t>366</t>
  </si>
  <si>
    <t>Предоставление гражданам субсидий на оплату жилого помещения и коммунальных услуг</t>
  </si>
  <si>
    <t>Организация и содержание мест захоронения</t>
  </si>
  <si>
    <t>Выполнение функций органами местного самоуправления</t>
  </si>
  <si>
    <t xml:space="preserve">Руководство и управление в сфере установленных  функций </t>
  </si>
  <si>
    <t>Прочие расходы</t>
  </si>
  <si>
    <t>Резервные фонды исполнительных органов местного самоуправления</t>
  </si>
  <si>
    <t>070 05 00</t>
  </si>
  <si>
    <t>209 01 00</t>
  </si>
  <si>
    <t>202 01 00</t>
  </si>
  <si>
    <t>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</si>
  <si>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</si>
  <si>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>Военный персонал</t>
  </si>
  <si>
    <t>202 58 00</t>
  </si>
  <si>
    <t>202 58 02</t>
  </si>
  <si>
    <t>Функционирование органов в сфере национальной безопасности, правоохранительной деятельности</t>
  </si>
  <si>
    <t>202 67 00</t>
  </si>
  <si>
    <t>Расходы на оплату труда гражданского персонала</t>
  </si>
  <si>
    <t>202 67 02</t>
  </si>
  <si>
    <t>202 67 99</t>
  </si>
  <si>
    <t>Другие расходы на обеспечение деятельности органов в сфере национальной безопасности, правоохранительной деятельности</t>
  </si>
  <si>
    <t>202 72 00</t>
  </si>
  <si>
    <t>Компенсация стоимости вещевого имущества</t>
  </si>
  <si>
    <t>202 72 03</t>
  </si>
  <si>
    <t>202 76 00</t>
  </si>
  <si>
    <t>Социальные выплаты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</si>
  <si>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</si>
  <si>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</si>
  <si>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219 01 00</t>
  </si>
  <si>
    <t>Выполнение функций бюджетными учреждениями</t>
  </si>
  <si>
    <t>Реализация других функций, связанных с обеспечением национальной безопасности и правоохранительной деятельности</t>
  </si>
  <si>
    <t>247 99 00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</si>
  <si>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</si>
  <si>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</si>
  <si>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</si>
  <si>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</si>
  <si>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Расходы на организацию транспортного обслуживания населения автомобильным транспортом(пригородное и межмуниципальное сообщение)</t>
  </si>
  <si>
    <t>303 02 01</t>
  </si>
  <si>
    <t>Субсидии юридическим лицам</t>
  </si>
  <si>
    <t>Рз</t>
  </si>
  <si>
    <t>ПР</t>
  </si>
  <si>
    <t>ЦСР</t>
  </si>
  <si>
    <t>ВР</t>
  </si>
  <si>
    <t>01</t>
  </si>
  <si>
    <t>02</t>
  </si>
  <si>
    <t>04</t>
  </si>
  <si>
    <t>12</t>
  </si>
  <si>
    <t>14</t>
  </si>
  <si>
    <t>03</t>
  </si>
  <si>
    <t>09</t>
  </si>
  <si>
    <t>10</t>
  </si>
  <si>
    <t>07</t>
  </si>
  <si>
    <t>08</t>
  </si>
  <si>
    <t>315 00 00</t>
  </si>
  <si>
    <t>Поддержка дорожного хозяйства</t>
  </si>
  <si>
    <t>315  02 00</t>
  </si>
  <si>
    <t>315 02 00</t>
  </si>
  <si>
    <t>05</t>
  </si>
  <si>
    <t xml:space="preserve">Мероприятия в области жилищного хозяйства </t>
  </si>
  <si>
    <t>350 03 00</t>
  </si>
  <si>
    <t>092 03 00</t>
  </si>
  <si>
    <t>Реализация государственных функций , связанных с общегосударственным управлением</t>
  </si>
  <si>
    <t>06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</si>
  <si>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</si>
  <si>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Федерации(объекты капитального строительства собственности муниципальных образований)</t>
  </si>
  <si>
    <t>102 01 00</t>
  </si>
  <si>
    <t>Бюджетные инвестиции</t>
  </si>
  <si>
    <t>420 99 00</t>
  </si>
  <si>
    <t>421 99 00</t>
  </si>
  <si>
    <t>423 99 00</t>
  </si>
  <si>
    <t>520 09 00</t>
  </si>
  <si>
    <t>431 01 00</t>
  </si>
  <si>
    <t>Мероприятия по проведению оздоровительной компании детей</t>
  </si>
  <si>
    <t xml:space="preserve">Оздоровление детей </t>
  </si>
  <si>
    <t>432 02 00</t>
  </si>
  <si>
    <t>452 99 00</t>
  </si>
  <si>
    <t>Муниципальная комплексная  программа "Дети Долгопрудного"  на среднесрочную перспективу 2007-2010 годы</t>
  </si>
  <si>
    <t>795 01 00</t>
  </si>
  <si>
    <t>795 02 00</t>
  </si>
  <si>
    <t>440 99 00</t>
  </si>
  <si>
    <t>441 99 00</t>
  </si>
  <si>
    <t>442 99 00</t>
  </si>
  <si>
    <t>443 99 00</t>
  </si>
  <si>
    <t>450 85 00</t>
  </si>
  <si>
    <t>Здравоохранение физическая культура и спорт</t>
  </si>
  <si>
    <t>Стационарная медицинская помощь</t>
  </si>
  <si>
    <t>470 99 00</t>
  </si>
  <si>
    <t>Физическая культура и спорт</t>
  </si>
  <si>
    <t>482 99 00</t>
  </si>
  <si>
    <t>Другие вопросы в области здравоохранения физической культуры и спорта</t>
  </si>
  <si>
    <t>Доплаты к пенсиям, дополнительное пенсионное обеспечение</t>
  </si>
  <si>
    <t>491 00 00</t>
  </si>
  <si>
    <t>491 01 00</t>
  </si>
  <si>
    <t>Социальная помощь</t>
  </si>
  <si>
    <t>Оказание других видов социальной помощи</t>
  </si>
  <si>
    <t>505 85 00</t>
  </si>
  <si>
    <t>Оказание адресной материальной помощи гражданам, находящимся в трудной жизненной ситуации</t>
  </si>
  <si>
    <t>505 85 50</t>
  </si>
  <si>
    <t>505 48 00</t>
  </si>
  <si>
    <t>Бюджетные инвестиции в объекты капитального строительства собственности муниципальных образований</t>
  </si>
  <si>
    <t>102 01 02</t>
  </si>
  <si>
    <t>Обеспечение жилыми помещениями детей-сирот, детей, оставшихся без попечения родителей, а также детей, находящихся под опекой( попечительством), не имеющих закрепленного жилого помещения</t>
  </si>
  <si>
    <t>505 36 00</t>
  </si>
  <si>
    <t>Муниципальная целевая программа "Социальная поддержка населения г. Долгопрудного на 2007-2009 годы"</t>
  </si>
  <si>
    <t>795 03 00</t>
  </si>
  <si>
    <t>795 04 00</t>
  </si>
  <si>
    <t>за счет межбюджетных трансфертов</t>
  </si>
  <si>
    <t>Здравоохранение,физическая культура и спорт</t>
  </si>
  <si>
    <t>Культура,кинематография , средства массовой информации</t>
  </si>
  <si>
    <t>795 05 00</t>
  </si>
  <si>
    <t>Муниципальная   программа "Развитие сферы культуры г. Долгопрудного  на среднесрочную перспективу( 2007-2009 гг.)"</t>
  </si>
  <si>
    <t>Оздоровление детей</t>
  </si>
  <si>
    <t>Городская целевая    программа "Молодое поколение Долгопрудного   на  2007-2009 годы"</t>
  </si>
  <si>
    <t xml:space="preserve">795 02 00 </t>
  </si>
  <si>
    <t>Здравоохранение , физическая культура и спорт</t>
  </si>
  <si>
    <t>795 06 00</t>
  </si>
  <si>
    <t>Выполнение функций  органами местного самоуправления</t>
  </si>
  <si>
    <t>Социальные ваыплаты</t>
  </si>
  <si>
    <t xml:space="preserve"> и видам расходов  классификации расходов бюджетов </t>
  </si>
  <si>
    <t>795 07 00</t>
  </si>
  <si>
    <t>795 08 00</t>
  </si>
  <si>
    <t>795 09 00</t>
  </si>
  <si>
    <t>795 10 00</t>
  </si>
  <si>
    <t>Программа   по проведению капитального ремонта многоквартирных домов в городе Долгопрудном на 2007-2011 годы</t>
  </si>
  <si>
    <t>к решению Совета депутатов</t>
  </si>
  <si>
    <t xml:space="preserve">к решению Совета депутатов </t>
  </si>
  <si>
    <t>(тыс. руб.)</t>
  </si>
  <si>
    <t>Мероприятия в области образования</t>
  </si>
  <si>
    <t>436 00 00</t>
  </si>
  <si>
    <t>436 01 00</t>
  </si>
  <si>
    <t>Государственная поддержка в сфере образования</t>
  </si>
  <si>
    <t>Субсидии некоммерческим организациям</t>
  </si>
  <si>
    <t>019</t>
  </si>
  <si>
    <t>Бюджетные инвестиции в объекты капитального строительства  собственности муниципальных образований</t>
  </si>
  <si>
    <t>002 00 00</t>
  </si>
  <si>
    <t>500</t>
  </si>
  <si>
    <t>002 04 00</t>
  </si>
  <si>
    <t>520 18 00</t>
  </si>
  <si>
    <t>520 10 00</t>
  </si>
  <si>
    <t xml:space="preserve">Компенсация части родительской платы за содержание ребенка в государственных и муниципальных образовательных учреждениях , реализующих основную общеобразовательную программу дошкольного образования </t>
  </si>
  <si>
    <t>Управление внутренних дел по Мытищинскому  району</t>
  </si>
  <si>
    <t>008</t>
  </si>
  <si>
    <t>0008</t>
  </si>
  <si>
    <t>Муниципальная прогграмма  размещения дополнительных гостевых парковок на дворовых и сопряженных с ними территориях в г. Долгопрудном на период  до 2010 года включительно</t>
  </si>
  <si>
    <t>795 12 00</t>
  </si>
  <si>
    <t>795 13 00</t>
  </si>
  <si>
    <t>Муниципальная целевая программа " Повышение безопасности дорожного движения в городе Долгопрудном Московской области Московской области в 2007-2012 годах"</t>
  </si>
  <si>
    <t>(Приложение №3</t>
  </si>
  <si>
    <t>Мероприятия в области коммунального хозяйства</t>
  </si>
  <si>
    <t>351 05 00</t>
  </si>
  <si>
    <t>795  14 00</t>
  </si>
  <si>
    <t>600 00 00</t>
  </si>
  <si>
    <t>Строительство и содержание автомобильных дорог и инженерных сооружений на них в границах городских округов и поселений  в рамках благоустройства</t>
  </si>
  <si>
    <t>600 02 00</t>
  </si>
  <si>
    <t>795 15 00</t>
  </si>
  <si>
    <t>795 14 00</t>
  </si>
  <si>
    <t>795 16 00</t>
  </si>
  <si>
    <r>
      <t xml:space="preserve">Бюджетные инвестиции в объекты капитального строительства собственности муниципальных образований </t>
    </r>
    <r>
      <rPr>
        <b/>
        <sz val="10"/>
        <rFont val="Times New Roman Cyr"/>
        <family val="1"/>
      </rPr>
      <t>(Строительство физкультурно-оздоровительного комплекса в составе многофункционального спортивного комплекса, расположенного по адресу : МО , г. Долгопрудный, пересечение ул. Дирижабельная и ул. Летная")</t>
    </r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</si>
  <si>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самоуправления</t>
  </si>
  <si>
    <t>Глава муниципального  образования</t>
  </si>
  <si>
    <t>002 03 00</t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</si>
  <si>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</si>
  <si>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</si>
  <si>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Председатель 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</si>
  <si>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</si>
  <si>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</si>
  <si>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</si>
  <si>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</si>
  <si>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</si>
  <si>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</si>
  <si>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</si>
  <si>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</si>
  <si>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Проведение выборов главы муниципального образования</t>
  </si>
  <si>
    <t>020 00 03</t>
  </si>
  <si>
    <t>Содержание автомобильных дорог  общего пользования</t>
  </si>
  <si>
    <t>315 02 03</t>
  </si>
  <si>
    <t>Выполнение функций государственными органами</t>
  </si>
  <si>
    <t>315  02 03</t>
  </si>
  <si>
    <t>Уличное освещение</t>
  </si>
  <si>
    <t>600 01 00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</si>
  <si>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</si>
  <si>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</si>
  <si>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</si>
  <si>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</si>
  <si>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Охрана семьи и детства</t>
  </si>
  <si>
    <t>Родильные дома</t>
  </si>
  <si>
    <t>476 00 00</t>
  </si>
  <si>
    <t>476 99 00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</si>
  <si>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</si>
  <si>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</si>
  <si>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</si>
  <si>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</si>
  <si>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</si>
  <si>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</si>
  <si>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</si>
  <si>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</si>
  <si>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477 99 00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</si>
  <si>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</si>
  <si>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Природоохранные мероприятия</t>
  </si>
  <si>
    <r>
      <t>Бюджетные инвестиции в объекты капитального строительства собственности муниципальных образований(</t>
    </r>
    <r>
      <rPr>
        <b/>
        <sz val="10"/>
        <rFont val="Times New Roman Cyr"/>
        <family val="1"/>
      </rPr>
      <t>Строительство новых  и реконструкция  существующих линий городского освещения</t>
    </r>
    <r>
      <rPr>
        <sz val="10"/>
        <rFont val="Times New Roman Cyr"/>
        <family val="1"/>
      </rPr>
      <t>)</t>
    </r>
  </si>
  <si>
    <t>Мероприятия по землеустройству и землепользованию</t>
  </si>
  <si>
    <t>340 03 00</t>
  </si>
  <si>
    <r>
      <t xml:space="preserve">Бюджетные инвестиции в объекты капитального строительства собственности муниципальных образований </t>
    </r>
    <r>
      <rPr>
        <b/>
        <sz val="10"/>
        <rFont val="Times New Roman Cyr"/>
        <family val="1"/>
      </rPr>
      <t>( ПИР и СМР по реконструкции и расширению муниципального дошкольного образовательного учреждения центра развития ребенка -  детский сад № 4 " Рябинка" г. Долгопрудного</t>
    </r>
    <r>
      <rPr>
        <sz val="10"/>
        <rFont val="Times New Roman Cyr"/>
        <family val="1"/>
      </rPr>
      <t>)</t>
    </r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</si>
  <si>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</si>
  <si>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</si>
  <si>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>Муниципальная программа "Развитие и социальная поддержка общественного самоуправления в городе Долгопрудном на 2009 год"</t>
  </si>
  <si>
    <t>795 22 00</t>
  </si>
  <si>
    <t>795 17 00</t>
  </si>
  <si>
    <t>Муниципальная целевая программа по повышению пожарной безопасности жилищного фонда г. Долгопрудного на 2009-2012 годы</t>
  </si>
  <si>
    <t>795 18 00</t>
  </si>
  <si>
    <t>Муниципальная долгосрочная целевая программа "Предупреждение и борьба с заболеваниями социального характера в городе Долгопрудном на период 2009-2011 годы"</t>
  </si>
  <si>
    <t>795 20 00</t>
  </si>
  <si>
    <t>Муниципальная целевая программа "Обеспечение жильем  молодых семей в г. Долгопрудный на 2007-2008 год"</t>
  </si>
  <si>
    <t>Муниципальная целевая программа "Обеспечение жильем  молодых семей в г. Долгопрудный на 2009 год"</t>
  </si>
  <si>
    <r>
      <t>Бюджетные инвестиции в объекты капитального строительства собственности муниципальных образований (</t>
    </r>
    <r>
      <rPr>
        <b/>
        <sz val="10"/>
        <rFont val="Times New Roman Cyr"/>
        <family val="0"/>
      </rPr>
      <t>Разработка ПСД на комплексную рекострукцию микрорайона  Водники: стр-во жилых домов,инженерной инфраструктуры, социальных объектов , межевание земельных участков)</t>
    </r>
  </si>
  <si>
    <t>Муниципальная целевая программа "Совершенствование медицинской помощи новорожденным, беременным женщинам и матерям в городском округе Долгопрудный на период 2009-2011 годы"</t>
  </si>
  <si>
    <t>795 19 00</t>
  </si>
  <si>
    <t>Муниципальная программа "Развитие системы здравоохранения городского округа Долгопрудный на период 2009-2011 годы"</t>
  </si>
  <si>
    <t>795 21 00</t>
  </si>
  <si>
    <t>"Муниципальная целевая программа по по антитеррористической защищенности объектов коммунальной инфраструктуры г. Долгопрудного на 2008-2011 годы"</t>
  </si>
  <si>
    <t>Муниципальная целевая программа по по антитеррористической защищенности объектов коммунальной инфраструктуры г. Долгопрудного на 2008-2011 годы</t>
  </si>
  <si>
    <t>Прочие мероприятия в области коммунального хозяйства</t>
  </si>
  <si>
    <t>351 05 02</t>
  </si>
  <si>
    <t>Муниципальная   программа "Развитие физической культуры и спорта в г. Долгопрудном   на  2009-2011 годы"</t>
  </si>
  <si>
    <t>Муниципальная   программа "Развитие физической культуры и спорта в г. Долгопрудном на  2009-2011 годы"</t>
  </si>
  <si>
    <t>Муниципальная целевая Программа "Экологическая программа города Долгопрудного на 2008-2011 годы"</t>
  </si>
  <si>
    <t>Муниципальная целевая программа " Экологическая программа города Долгопрудного на 2008-2011 годы"</t>
  </si>
  <si>
    <t>Муниципальная целевая Программа  " Профилактика преступлений и иных правонарушений на территории городского округа Долгопрудный  на 2009-2011 годы"</t>
  </si>
  <si>
    <t>Программа  " Модернизация объектов коммунальной инфраструктуры на 2008-2011 годы в городе Долгопрудном"</t>
  </si>
  <si>
    <t>Муниципальная программа  размещения дополнительных гостевых парковок на дворовых и сопряженных с ними территориях в г. Долгопрудном на период  до 2010 года включительно</t>
  </si>
  <si>
    <t>Городская  целевая программа" Развитие и поддержка малого и среднего предпринимательства в городском округе Долгопрудный Московской области на период 2008-2009 годы"</t>
  </si>
  <si>
    <t>Муниципальная целевая программа "Обеспечение жильем  молодых семей в г. Долгопрудный на 2007-2008 годы"</t>
  </si>
  <si>
    <t>"Муниципальная целевая программа по замене лифтов в многоквартирных жилых домах г. Долгопрудного на 2009-2012 годы</t>
  </si>
  <si>
    <t>Территориальная избирательная комиссия города Долгопрудный</t>
  </si>
  <si>
    <t>009</t>
  </si>
  <si>
    <t>Обеспечение 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</si>
  <si>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</si>
  <si>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</si>
  <si>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</si>
  <si>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 xml:space="preserve">Обеспечение  мероприятий по капитальному ремонту многоквартирных домов </t>
  </si>
  <si>
    <t>098 01 01</t>
  </si>
  <si>
    <t>Фонд софинансирования</t>
  </si>
  <si>
    <t>010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</si>
  <si>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</si>
  <si>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</si>
  <si>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>Обеспечение мероприятий по капитальному ремонту многоквартирных домов</t>
  </si>
  <si>
    <t>098 02 01</t>
  </si>
  <si>
    <t>Развитие социальной и инженерной инфраструктуры субъектов  Российской  Федерации и муниципальных образований</t>
  </si>
  <si>
    <t>523 00 00</t>
  </si>
  <si>
    <t xml:space="preserve">Развитие социальной и инженерной инфраструктуры </t>
  </si>
  <si>
    <t>Федеральная целевая программа "Жилище" на 2002-2010 годы</t>
  </si>
  <si>
    <t>104 00 00</t>
  </si>
  <si>
    <t>Подпрограмма  "Обеспечение жильем молодых семей"</t>
  </si>
  <si>
    <t>104 02 00</t>
  </si>
  <si>
    <t>Субсидии на обеспечение жильем</t>
  </si>
  <si>
    <t>501</t>
  </si>
  <si>
    <t>Региональные целевые программы</t>
  </si>
  <si>
    <t>522 00 00</t>
  </si>
  <si>
    <t>Областная целевая программа "Жилище" на 2006-2010 годы</t>
  </si>
  <si>
    <t>522 02 00</t>
  </si>
  <si>
    <t>522 02 04</t>
  </si>
  <si>
    <t>Внедрение  инновационных образовательных программ</t>
  </si>
  <si>
    <t>436 0200</t>
  </si>
  <si>
    <t>436 02 00</t>
  </si>
  <si>
    <t>Внедрение современных образовательных технологий</t>
  </si>
  <si>
    <t>436 03 00</t>
  </si>
  <si>
    <t>Оснащение общеобразовательных учреждений учебным оборудованием</t>
  </si>
  <si>
    <t>436 07 00</t>
  </si>
  <si>
    <t>520 12 00</t>
  </si>
  <si>
    <t>Обеспечение жильем инвалидов войны и инвалидов боевых действий, участников ВОВ, ветеранов боевых действий, военнослужащих, проходивших военную службу в период с 22 июня 1941 г. по 3 сентября 1945г</t>
  </si>
  <si>
    <t>505 34 00</t>
  </si>
  <si>
    <t>Судебная система</t>
  </si>
  <si>
    <t>001 00 00</t>
  </si>
  <si>
    <t>Составление(изменение и дополнение) списков  кандидатов в присяжные заседатели федеральных судов общей юрисдикции в РФ</t>
  </si>
  <si>
    <t>001 40 00</t>
  </si>
  <si>
    <t>001 04 00</t>
  </si>
  <si>
    <t>Физкультурно-оздоровительная работа и спортивные мероприятия</t>
  </si>
  <si>
    <t>512 00 00</t>
  </si>
  <si>
    <t>Мероприятия в области спорта и физической культуры</t>
  </si>
  <si>
    <t>512 10 00</t>
  </si>
  <si>
    <t>Мероприятия в области  спорта и физической культуры</t>
  </si>
  <si>
    <t>471 99 04</t>
  </si>
  <si>
    <t>470 99 05</t>
  </si>
  <si>
    <t>Мероприятия в области строительства, архитектуры и градостроительства</t>
  </si>
  <si>
    <t>338 00 00</t>
  </si>
  <si>
    <t xml:space="preserve">Бюджетные инвестиции в объекты капитального строительства собственности муниципальных образований </t>
  </si>
  <si>
    <t>Бюджетные инвестиции(кредиторская задолженность)</t>
  </si>
  <si>
    <t>Организация благоустройства</t>
  </si>
  <si>
    <t>351 02 00</t>
  </si>
  <si>
    <t>Освещение</t>
  </si>
  <si>
    <t>351 02 01</t>
  </si>
  <si>
    <t>351 02 02</t>
  </si>
  <si>
    <t xml:space="preserve">Прочие мероприятия по благоустройству городских округов </t>
  </si>
  <si>
    <t>351 02 03</t>
  </si>
  <si>
    <t>Бюджетные инвестиции в объекты капитального строительства собственности муниципальных образований (погашение кредиторской задолженности по реконструкции детского сада № 15)</t>
  </si>
  <si>
    <t>Бюджетные инвестиции в объекты капитального строительства собственности муниципальных образований ( кредиторская  задолженность по строительству  школы № 14)</t>
  </si>
  <si>
    <t>Обеспечение деятельности финансовых, налоговых и таможенных органов и органов финансового(финансово-бюджетного) надзора</t>
  </si>
  <si>
    <t>Содержание и управление дорожным хозяйством</t>
  </si>
  <si>
    <t>315 01 00</t>
  </si>
  <si>
    <t>Ремонт и содержание муниципальных автомобильных дорог</t>
  </si>
  <si>
    <t>315 01 06</t>
  </si>
  <si>
    <t>Отдельные мероприятия  в области дорожного хозяйства</t>
  </si>
  <si>
    <t>365</t>
  </si>
  <si>
    <t>Совет депутатов города Долгопрудный</t>
  </si>
  <si>
    <t>Финансовое управление администрации  г. Долгопрудного</t>
  </si>
  <si>
    <t>011</t>
  </si>
  <si>
    <t>520 12 01</t>
  </si>
  <si>
    <t>Государственная поддержка внедрения комплексных мер модернизации образования</t>
  </si>
  <si>
    <t>Государственная поддержка внедрения комплексных мер модернизации образования за счет средств федерального бюджета</t>
  </si>
  <si>
    <t>Государственная поддержка внедрения комплексных мер модернизации образования за счет средств  федерального бюджета</t>
  </si>
  <si>
    <t>Социальные авплаты</t>
  </si>
  <si>
    <t>Расходы на погашение кредиторской задолженности бюджета Московской области  за 2008 год</t>
  </si>
  <si>
    <t>520 12 02</t>
  </si>
  <si>
    <t>Расходы на погашение кредиторской задолженности бюджета Московской области за 2008 год</t>
  </si>
  <si>
    <t>Мероприятия в сфере 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</si>
  <si>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</si>
  <si>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450 06 00</t>
  </si>
  <si>
    <t>Софинансирование  объектов капитального строительства государственной собственности  субъектов РФ ( объектов капитального строительства собственности муниципальных образований)(Реконструкция  котельной в г. Долгопрудный Московской области , ул. Заводская , д. 2  ) ( за счет средств федерального бюджета)</t>
  </si>
  <si>
    <t>020</t>
  </si>
  <si>
    <t>Софинансирование  объектов капитального строительства государственной собственности  субъектов РФ ( объектов капитального строительства собственности муниципальных образований)(Водовод на микрорайон "Хлебниково" в г.  Долгопрудный Московской области  ) ( за счет средств федерального бюджета)</t>
  </si>
  <si>
    <t>523 01 00</t>
  </si>
  <si>
    <t>Обеспечение жильем отдельных категорий граждан,установленных ФЗ от 12.01.95г.№5-ФЗ "Оветеранах" в соответствии с Указом Президента РФ от 07.05.2008г. №714 "Об обеспечении жильем ВОВ 1941-1945 гг"</t>
  </si>
  <si>
    <t>505 34 01</t>
  </si>
  <si>
    <t xml:space="preserve">505 34 01 </t>
  </si>
  <si>
    <t>50534 02</t>
  </si>
  <si>
    <t>Обеспечение жильем отдельных категорий граждан, установленных ФЗ от 12.01.1995№5 ФЗ "О ветеранах" и 24.11.1995 гю №181-ФЗ "О социальной защите инвалидовРФ"</t>
  </si>
  <si>
    <t>505 34 02</t>
  </si>
  <si>
    <t>Приложение №2</t>
  </si>
  <si>
    <t>от 28 ноября 2008г. №98-нр)</t>
  </si>
  <si>
    <t>Воинские формирования (органы, подразделения)</t>
  </si>
  <si>
    <t>Расходы на организацию транспортного обслуживания населения автомобильным транспортом (пригородное и межмуниципальное сообщение)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</si>
  <si>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</si>
  <si>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Софинансирование  объектов капитального строительства государственной собственности  субъектов РФ (объектов капитального строительства собственности муниципальных образований)</t>
  </si>
  <si>
    <r>
      <t>Бюджетные инвестиции в объекты капитального строительства собственности муниципальных образований (</t>
    </r>
    <r>
      <rPr>
        <b/>
        <sz val="10"/>
        <rFont val="Times New Roman Cyr"/>
        <family val="1"/>
      </rPr>
      <t>Строительство новых  и реконструкция  существующих линий городского освещения</t>
    </r>
    <r>
      <rPr>
        <sz val="10"/>
        <rFont val="Times New Roman Cyr"/>
        <family val="1"/>
      </rPr>
      <t>)</t>
    </r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</si>
  <si>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</si>
  <si>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Приложение №3</t>
  </si>
  <si>
    <t>(Приложение №5</t>
  </si>
  <si>
    <t>от  28 ноября 2008г. №98-нр)</t>
  </si>
  <si>
    <r>
      <t xml:space="preserve">Бюджетные инвестиции в объекты капитального строительства собственности муниципальных образований </t>
    </r>
    <r>
      <rPr>
        <b/>
        <sz val="10"/>
        <rFont val="Times New Roman Cyr"/>
        <family val="1"/>
      </rPr>
      <t>(Строительство водовода в мкр. "Хлебниково"</t>
    </r>
  </si>
  <si>
    <r>
      <t>Бюджетные инвестиции в объекты капитального строительства собственности муниципальных образований (</t>
    </r>
    <r>
      <rPr>
        <b/>
        <sz val="10"/>
        <rFont val="Times New Roman Cyr"/>
        <family val="1"/>
      </rPr>
      <t>Реконструкция  муниципального дошкольного образовательного уреждения детского сада 2 категории  общеразвивающего вида № 24 " Березка"  г. Долгопрудного и проектно-изыскательские работы</t>
    </r>
    <r>
      <rPr>
        <sz val="10"/>
        <rFont val="Times New Roman Cyr"/>
        <family val="1"/>
      </rPr>
      <t>)</t>
    </r>
  </si>
  <si>
    <r>
      <t>Бюджетные инвестиции в объекты капитального строительства собственности муниципальных образований (</t>
    </r>
    <r>
      <rPr>
        <b/>
        <sz val="10"/>
        <rFont val="Times New Roman Cyr"/>
        <family val="1"/>
      </rPr>
      <t xml:space="preserve">Строительство </t>
    </r>
    <r>
      <rPr>
        <sz val="10"/>
        <rFont val="Times New Roman Cyr"/>
        <family val="1"/>
      </rPr>
      <t xml:space="preserve"> х</t>
    </r>
    <r>
      <rPr>
        <b/>
        <sz val="10"/>
        <rFont val="Times New Roman Cyr"/>
        <family val="1"/>
      </rPr>
      <t>ирургического корпуса на 210 коек с пищеблоком, ЦСО, клинико-диагностической лабораторией на весь комплекс МУЗ "ДЦГБ" и проектно-изыскательские работы)</t>
    </r>
  </si>
  <si>
    <r>
      <t>Бюджетные инвестиции в объекты капитального строительства собственности муниципальных образований (</t>
    </r>
    <r>
      <rPr>
        <b/>
        <sz val="10"/>
        <rFont val="Times New Roman Cyr"/>
        <family val="1"/>
      </rPr>
      <t>Строительство хозяйственного корпуса на територии МУЗ " ДЦГБ"и проектно-изыскательские работы</t>
    </r>
    <r>
      <rPr>
        <sz val="10"/>
        <rFont val="Times New Roman Cyr"/>
        <family val="1"/>
      </rPr>
      <t>)</t>
    </r>
  </si>
  <si>
    <r>
      <t>Бюджетные инвестиции в объекты капитального строительства собственности муниципальных образований (</t>
    </r>
    <r>
      <rPr>
        <b/>
        <sz val="10"/>
        <rFont val="Times New Roman Cyr"/>
        <family val="1"/>
      </rPr>
      <t>ПИР и строительство здания скорой медицинской помощи по адресу : МО, г. Долгопрудный, Московское шоссе)</t>
    </r>
    <r>
      <rPr>
        <sz val="10"/>
        <rFont val="Times New Roman Cyr"/>
        <family val="1"/>
      </rPr>
      <t>)</t>
    </r>
  </si>
  <si>
    <r>
      <t>Бюджетные инвестиции в объекты капитального строительства собственности муниципальных образований (</t>
    </r>
    <r>
      <rPr>
        <b/>
        <sz val="10"/>
        <rFont val="Times New Roman Cyr"/>
        <family val="1"/>
      </rPr>
      <t>Строительство  бассейна в составе многофункционального спортивного комплекса (ПИР и СМР)</t>
    </r>
  </si>
  <si>
    <t>Расходы бюджета города на 2009г. по разделам, подразделам, целевым статьям</t>
  </si>
  <si>
    <t>Ведомственная структура расходов  бюджета городского округа Долгопрудный  на  2009 год</t>
  </si>
  <si>
    <t xml:space="preserve">  (тыс. руб.)</t>
  </si>
  <si>
    <t>от 23 октября 2009г. №62-нр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</si>
</sst>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"/>
  </numFmts>
  <fonts count="18">
    <font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8"/>
      <name val="Times New Roman Cyr"/>
      <family val="1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b/>
      <sz val="14"/>
      <name val="Times New Roman Cyr"/>
      <family val="1"/>
    </font>
    <font>
      <sz val="8"/>
      <name val="Times New Roman Cyr"/>
      <family val="1"/>
    </font>
    <font>
      <sz val="12"/>
      <name val="Arial"/>
      <family val="2"/>
    </font>
    <font>
      <sz val="10"/>
      <name val="Arial"/>
      <family val="2"/>
    </font>
    <font>
      <sz val="12"/>
      <color indexed="10"/>
      <name val="Times New Roman Cyr"/>
      <family val="1"/>
    </font>
    <font>
      <b/>
      <sz val="9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4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49" fontId="3" fillId="0" borderId="6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0" fontId="3" fillId="0" borderId="0" xfId="0" applyFont="1" applyAlignment="1">
      <alignment/>
    </xf>
    <xf numFmtId="49" fontId="2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9" fontId="3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0" fontId="1" fillId="0" borderId="7" xfId="0" applyFont="1" applyBorder="1" applyAlignment="1">
      <alignment/>
    </xf>
    <xf numFmtId="49" fontId="2" fillId="0" borderId="8" xfId="0" applyNumberFormat="1" applyFont="1" applyBorder="1" applyAlignment="1">
      <alignment/>
    </xf>
    <xf numFmtId="0" fontId="1" fillId="0" borderId="16" xfId="0" applyFont="1" applyBorder="1" applyAlignment="1">
      <alignment wrapText="1"/>
    </xf>
    <xf numFmtId="164" fontId="1" fillId="0" borderId="12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0" xfId="0" applyFont="1" applyAlignment="1">
      <alignment/>
    </xf>
    <xf numFmtId="164" fontId="1" fillId="0" borderId="22" xfId="0" applyNumberFormat="1" applyFont="1" applyBorder="1" applyAlignment="1">
      <alignment/>
    </xf>
    <xf numFmtId="0" fontId="1" fillId="0" borderId="22" xfId="0" applyFont="1" applyBorder="1" applyAlignment="1">
      <alignment/>
    </xf>
    <xf numFmtId="49" fontId="1" fillId="0" borderId="4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 horizontal="left"/>
    </xf>
    <xf numFmtId="0" fontId="1" fillId="0" borderId="24" xfId="0" applyFont="1" applyBorder="1" applyAlignment="1">
      <alignment/>
    </xf>
    <xf numFmtId="0" fontId="0" fillId="0" borderId="0" xfId="0" applyAlignment="1">
      <alignment horizontal="left"/>
    </xf>
    <xf numFmtId="49" fontId="3" fillId="0" borderId="25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64" fontId="1" fillId="0" borderId="24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 wrapText="1"/>
    </xf>
    <xf numFmtId="49" fontId="2" fillId="0" borderId="5" xfId="0" applyNumberFormat="1" applyFont="1" applyBorder="1" applyAlignment="1">
      <alignment/>
    </xf>
    <xf numFmtId="49" fontId="2" fillId="0" borderId="26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/>
    </xf>
    <xf numFmtId="164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/>
    </xf>
    <xf numFmtId="49" fontId="1" fillId="0" borderId="7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/>
    </xf>
    <xf numFmtId="0" fontId="9" fillId="0" borderId="1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9" fontId="2" fillId="0" borderId="8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4" fontId="1" fillId="0" borderId="28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1" fillId="0" borderId="15" xfId="0" applyFont="1" applyBorder="1" applyAlignment="1">
      <alignment horizontal="left"/>
    </xf>
    <xf numFmtId="164" fontId="2" fillId="0" borderId="9" xfId="0" applyNumberFormat="1" applyFont="1" applyBorder="1" applyAlignment="1">
      <alignment/>
    </xf>
    <xf numFmtId="0" fontId="12" fillId="0" borderId="0" xfId="0" applyFont="1" applyAlignment="1">
      <alignment horizontal="right"/>
    </xf>
    <xf numFmtId="0" fontId="1" fillId="0" borderId="20" xfId="0" applyFont="1" applyBorder="1" applyAlignment="1">
      <alignment/>
    </xf>
    <xf numFmtId="49" fontId="2" fillId="0" borderId="29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164" fontId="2" fillId="0" borderId="28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1" fillId="0" borderId="30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49" fontId="3" fillId="0" borderId="3" xfId="0" applyNumberFormat="1" applyFont="1" applyBorder="1" applyAlignment="1">
      <alignment/>
    </xf>
    <xf numFmtId="49" fontId="2" fillId="0" borderId="3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19" xfId="0" applyFont="1" applyBorder="1" applyAlignment="1">
      <alignment/>
    </xf>
    <xf numFmtId="0" fontId="2" fillId="0" borderId="4" xfId="0" applyFont="1" applyBorder="1" applyAlignment="1">
      <alignment/>
    </xf>
    <xf numFmtId="164" fontId="2" fillId="0" borderId="8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left"/>
    </xf>
    <xf numFmtId="0" fontId="2" fillId="0" borderId="16" xfId="0" applyFont="1" applyBorder="1" applyAlignment="1">
      <alignment/>
    </xf>
    <xf numFmtId="49" fontId="2" fillId="0" borderId="19" xfId="0" applyNumberFormat="1" applyFont="1" applyBorder="1" applyAlignment="1">
      <alignment/>
    </xf>
    <xf numFmtId="0" fontId="2" fillId="0" borderId="15" xfId="0" applyFont="1" applyBorder="1" applyAlignment="1">
      <alignment/>
    </xf>
    <xf numFmtId="49" fontId="2" fillId="0" borderId="20" xfId="0" applyNumberFormat="1" applyFont="1" applyBorder="1" applyAlignment="1">
      <alignment/>
    </xf>
    <xf numFmtId="0" fontId="10" fillId="0" borderId="0" xfId="0" applyFont="1" applyAlignment="1">
      <alignment wrapText="1"/>
    </xf>
    <xf numFmtId="0" fontId="6" fillId="0" borderId="0" xfId="0" applyFont="1" applyAlignment="1">
      <alignment/>
    </xf>
    <xf numFmtId="0" fontId="2" fillId="0" borderId="14" xfId="0" applyFont="1" applyBorder="1" applyAlignment="1">
      <alignment/>
    </xf>
    <xf numFmtId="0" fontId="1" fillId="0" borderId="19" xfId="0" applyFont="1" applyBorder="1" applyAlignment="1">
      <alignment wrapText="1"/>
    </xf>
    <xf numFmtId="0" fontId="13" fillId="0" borderId="0" xfId="0" applyFont="1" applyAlignment="1">
      <alignment/>
    </xf>
    <xf numFmtId="49" fontId="2" fillId="0" borderId="18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0" fontId="6" fillId="0" borderId="31" xfId="0" applyFont="1" applyBorder="1" applyAlignment="1">
      <alignment wrapText="1"/>
    </xf>
    <xf numFmtId="49" fontId="2" fillId="0" borderId="16" xfId="0" applyNumberFormat="1" applyFont="1" applyBorder="1" applyAlignment="1">
      <alignment horizontal="left"/>
    </xf>
    <xf numFmtId="0" fontId="2" fillId="0" borderId="16" xfId="0" applyFont="1" applyBorder="1" applyAlignment="1">
      <alignment wrapText="1"/>
    </xf>
    <xf numFmtId="49" fontId="2" fillId="0" borderId="7" xfId="0" applyNumberFormat="1" applyFont="1" applyBorder="1" applyAlignment="1">
      <alignment horizontal="left"/>
    </xf>
    <xf numFmtId="164" fontId="2" fillId="0" borderId="30" xfId="0" applyNumberFormat="1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8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2" fillId="0" borderId="0" xfId="0" applyFont="1" applyAlignment="1">
      <alignment/>
    </xf>
    <xf numFmtId="0" fontId="11" fillId="0" borderId="3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49" fontId="3" fillId="0" borderId="9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49" fontId="3" fillId="0" borderId="29" xfId="0" applyNumberFormat="1" applyFont="1" applyBorder="1" applyAlignment="1">
      <alignment horizontal="left"/>
    </xf>
    <xf numFmtId="0" fontId="2" fillId="0" borderId="17" xfId="0" applyFont="1" applyBorder="1" applyAlignment="1">
      <alignment wrapText="1"/>
    </xf>
    <xf numFmtId="164" fontId="14" fillId="0" borderId="11" xfId="0" applyNumberFormat="1" applyFont="1" applyBorder="1" applyAlignment="1">
      <alignment/>
    </xf>
    <xf numFmtId="0" fontId="1" fillId="0" borderId="20" xfId="0" applyFont="1" applyBorder="1" applyAlignment="1">
      <alignment wrapText="1"/>
    </xf>
    <xf numFmtId="49" fontId="1" fillId="0" borderId="19" xfId="0" applyNumberFormat="1" applyFont="1" applyBorder="1" applyAlignment="1">
      <alignment horizontal="left"/>
    </xf>
    <xf numFmtId="49" fontId="14" fillId="0" borderId="5" xfId="0" applyNumberFormat="1" applyFont="1" applyFill="1" applyBorder="1" applyAlignment="1">
      <alignment/>
    </xf>
    <xf numFmtId="49" fontId="5" fillId="0" borderId="21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164" fontId="5" fillId="0" borderId="21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49" fontId="15" fillId="0" borderId="19" xfId="0" applyNumberFormat="1" applyFont="1" applyBorder="1" applyAlignment="1">
      <alignment/>
    </xf>
    <xf numFmtId="49" fontId="15" fillId="0" borderId="3" xfId="0" applyNumberFormat="1" applyFont="1" applyBorder="1" applyAlignment="1">
      <alignment/>
    </xf>
    <xf numFmtId="164" fontId="1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9" xfId="0" applyNumberFormat="1" applyFont="1" applyBorder="1" applyAlignment="1">
      <alignment/>
    </xf>
    <xf numFmtId="49" fontId="5" fillId="0" borderId="3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49" fontId="15" fillId="0" borderId="12" xfId="0" applyNumberFormat="1" applyFont="1" applyBorder="1" applyAlignment="1">
      <alignment/>
    </xf>
    <xf numFmtId="49" fontId="15" fillId="0" borderId="20" xfId="0" applyNumberFormat="1" applyFont="1" applyBorder="1" applyAlignment="1">
      <alignment/>
    </xf>
    <xf numFmtId="164" fontId="15" fillId="0" borderId="12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6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49" fontId="5" fillId="0" borderId="33" xfId="0" applyNumberFormat="1" applyFont="1" applyBorder="1" applyAlignment="1">
      <alignment/>
    </xf>
    <xf numFmtId="49" fontId="5" fillId="0" borderId="11" xfId="0" applyNumberFormat="1" applyFont="1" applyBorder="1" applyAlignment="1">
      <alignment wrapText="1"/>
    </xf>
    <xf numFmtId="49" fontId="5" fillId="0" borderId="6" xfId="0" applyNumberFormat="1" applyFont="1" applyBorder="1" applyAlignment="1">
      <alignment wrapText="1"/>
    </xf>
    <xf numFmtId="49" fontId="15" fillId="0" borderId="6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49" fontId="15" fillId="0" borderId="9" xfId="0" applyNumberFormat="1" applyFont="1" applyBorder="1" applyAlignment="1">
      <alignment/>
    </xf>
    <xf numFmtId="49" fontId="15" fillId="0" borderId="18" xfId="0" applyNumberFormat="1" applyFont="1" applyBorder="1" applyAlignment="1">
      <alignment/>
    </xf>
    <xf numFmtId="164" fontId="15" fillId="0" borderId="9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64" fontId="15" fillId="0" borderId="4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164" fontId="15" fillId="0" borderId="19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15" fillId="0" borderId="14" xfId="0" applyNumberFormat="1" applyFont="1" applyBorder="1" applyAlignment="1">
      <alignment/>
    </xf>
    <xf numFmtId="164" fontId="15" fillId="0" borderId="15" xfId="0" applyNumberFormat="1" applyFont="1" applyBorder="1" applyAlignment="1">
      <alignment/>
    </xf>
    <xf numFmtId="49" fontId="15" fillId="0" borderId="6" xfId="0" applyNumberFormat="1" applyFont="1" applyBorder="1" applyAlignment="1">
      <alignment/>
    </xf>
    <xf numFmtId="164" fontId="5" fillId="0" borderId="31" xfId="0" applyNumberFormat="1" applyFont="1" applyBorder="1" applyAlignment="1">
      <alignment/>
    </xf>
    <xf numFmtId="164" fontId="15" fillId="0" borderId="16" xfId="0" applyNumberFormat="1" applyFont="1" applyBorder="1" applyAlignment="1">
      <alignment/>
    </xf>
    <xf numFmtId="164" fontId="15" fillId="0" borderId="20" xfId="0" applyNumberFormat="1" applyFont="1" applyBorder="1" applyAlignment="1">
      <alignment/>
    </xf>
    <xf numFmtId="49" fontId="5" fillId="0" borderId="31" xfId="0" applyNumberFormat="1" applyFont="1" applyBorder="1" applyAlignment="1">
      <alignment/>
    </xf>
    <xf numFmtId="49" fontId="5" fillId="0" borderId="9" xfId="0" applyNumberFormat="1" applyFont="1" applyBorder="1" applyAlignment="1">
      <alignment/>
    </xf>
    <xf numFmtId="164" fontId="5" fillId="0" borderId="9" xfId="0" applyNumberFormat="1" applyFont="1" applyBorder="1" applyAlignment="1">
      <alignment/>
    </xf>
    <xf numFmtId="49" fontId="5" fillId="0" borderId="20" xfId="0" applyNumberFormat="1" applyFont="1" applyBorder="1" applyAlignment="1">
      <alignment/>
    </xf>
    <xf numFmtId="0" fontId="15" fillId="0" borderId="10" xfId="0" applyFont="1" applyBorder="1" applyAlignment="1">
      <alignment/>
    </xf>
    <xf numFmtId="49" fontId="15" fillId="0" borderId="32" xfId="0" applyNumberFormat="1" applyFont="1" applyBorder="1" applyAlignment="1">
      <alignment/>
    </xf>
    <xf numFmtId="49" fontId="15" fillId="0" borderId="31" xfId="0" applyNumberFormat="1" applyFont="1" applyBorder="1" applyAlignment="1">
      <alignment/>
    </xf>
    <xf numFmtId="164" fontId="15" fillId="0" borderId="31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15" fillId="0" borderId="21" xfId="0" applyNumberFormat="1" applyFont="1" applyBorder="1" applyAlignment="1">
      <alignment/>
    </xf>
    <xf numFmtId="49" fontId="5" fillId="0" borderId="5" xfId="0" applyNumberFormat="1" applyFont="1" applyBorder="1" applyAlignment="1">
      <alignment/>
    </xf>
    <xf numFmtId="164" fontId="5" fillId="0" borderId="16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18" xfId="0" applyFont="1" applyBorder="1" applyAlignment="1">
      <alignment/>
    </xf>
    <xf numFmtId="164" fontId="5" fillId="0" borderId="4" xfId="0" applyNumberFormat="1" applyFont="1" applyBorder="1" applyAlignment="1">
      <alignment/>
    </xf>
    <xf numFmtId="164" fontId="15" fillId="0" borderId="23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5" fillId="0" borderId="32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0" fontId="2" fillId="0" borderId="4" xfId="0" applyFont="1" applyBorder="1" applyAlignment="1">
      <alignment wrapText="1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5" xfId="0" applyFont="1" applyBorder="1" applyAlignment="1">
      <alignment wrapText="1"/>
    </xf>
    <xf numFmtId="49" fontId="2" fillId="0" borderId="27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2" fillId="0" borderId="6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0" fontId="3" fillId="0" borderId="27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49" fontId="2" fillId="0" borderId="25" xfId="0" applyNumberFormat="1" applyFont="1" applyBorder="1" applyAlignment="1">
      <alignment horizontal="left"/>
    </xf>
    <xf numFmtId="49" fontId="2" fillId="0" borderId="34" xfId="0" applyNumberFormat="1" applyFont="1" applyFill="1" applyBorder="1" applyAlignment="1">
      <alignment/>
    </xf>
    <xf numFmtId="0" fontId="6" fillId="0" borderId="35" xfId="0" applyFont="1" applyBorder="1" applyAlignment="1">
      <alignment wrapText="1"/>
    </xf>
    <xf numFmtId="164" fontId="2" fillId="0" borderId="36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27" xfId="0" applyFont="1" applyBorder="1" applyAlignment="1">
      <alignment/>
    </xf>
    <xf numFmtId="164" fontId="3" fillId="0" borderId="17" xfId="0" applyNumberFormat="1" applyFont="1" applyBorder="1" applyAlignment="1">
      <alignment/>
    </xf>
    <xf numFmtId="164" fontId="5" fillId="0" borderId="37" xfId="0" applyNumberFormat="1" applyFont="1" applyBorder="1" applyAlignment="1">
      <alignment/>
    </xf>
    <xf numFmtId="164" fontId="5" fillId="0" borderId="17" xfId="0" applyNumberFormat="1" applyFont="1" applyBorder="1" applyAlignment="1">
      <alignment wrapText="1"/>
    </xf>
    <xf numFmtId="164" fontId="5" fillId="0" borderId="38" xfId="0" applyNumberFormat="1" applyFont="1" applyBorder="1" applyAlignment="1">
      <alignment/>
    </xf>
    <xf numFmtId="164" fontId="15" fillId="0" borderId="38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164" fontId="15" fillId="0" borderId="37" xfId="0" applyNumberFormat="1" applyFont="1" applyBorder="1" applyAlignment="1">
      <alignment/>
    </xf>
    <xf numFmtId="49" fontId="1" fillId="0" borderId="26" xfId="0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164" fontId="15" fillId="0" borderId="18" xfId="0" applyNumberFormat="1" applyFont="1" applyBorder="1" applyAlignment="1">
      <alignment/>
    </xf>
    <xf numFmtId="0" fontId="5" fillId="0" borderId="18" xfId="0" applyFont="1" applyBorder="1" applyAlignment="1">
      <alignment/>
    </xf>
    <xf numFmtId="49" fontId="15" fillId="0" borderId="33" xfId="0" applyNumberFormat="1" applyFont="1" applyBorder="1" applyAlignment="1">
      <alignment/>
    </xf>
    <xf numFmtId="49" fontId="15" fillId="0" borderId="10" xfId="0" applyNumberFormat="1" applyFont="1" applyBorder="1" applyAlignment="1">
      <alignment horizontal="left"/>
    </xf>
    <xf numFmtId="49" fontId="5" fillId="0" borderId="26" xfId="0" applyNumberFormat="1" applyFont="1" applyBorder="1" applyAlignment="1">
      <alignment/>
    </xf>
    <xf numFmtId="49" fontId="1" fillId="0" borderId="28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164" fontId="16" fillId="0" borderId="16" xfId="0" applyNumberFormat="1" applyFont="1" applyBorder="1" applyAlignment="1">
      <alignment/>
    </xf>
    <xf numFmtId="49" fontId="1" fillId="0" borderId="39" xfId="0" applyNumberFormat="1" applyFont="1" applyBorder="1" applyAlignment="1">
      <alignment/>
    </xf>
    <xf numFmtId="164" fontId="5" fillId="0" borderId="27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6" xfId="0" applyNumberFormat="1" applyFont="1" applyBorder="1" applyAlignment="1">
      <alignment/>
    </xf>
    <xf numFmtId="49" fontId="3" fillId="0" borderId="25" xfId="0" applyNumberFormat="1" applyFont="1" applyBorder="1" applyAlignment="1">
      <alignment horizontal="left"/>
    </xf>
    <xf numFmtId="164" fontId="2" fillId="0" borderId="11" xfId="0" applyNumberFormat="1" applyFont="1" applyBorder="1" applyAlignment="1">
      <alignment/>
    </xf>
    <xf numFmtId="164" fontId="16" fillId="0" borderId="4" xfId="0" applyNumberFormat="1" applyFont="1" applyBorder="1" applyAlignment="1">
      <alignment/>
    </xf>
    <xf numFmtId="49" fontId="2" fillId="0" borderId="21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1" fillId="0" borderId="40" xfId="0" applyNumberFormat="1" applyFont="1" applyBorder="1" applyAlignment="1">
      <alignment horizontal="left"/>
    </xf>
    <xf numFmtId="49" fontId="2" fillId="0" borderId="28" xfId="0" applyNumberFormat="1" applyFont="1" applyBorder="1" applyAlignment="1">
      <alignment/>
    </xf>
    <xf numFmtId="49" fontId="2" fillId="0" borderId="36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1" fillId="0" borderId="40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left"/>
    </xf>
    <xf numFmtId="164" fontId="2" fillId="0" borderId="18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164" fontId="1" fillId="0" borderId="40" xfId="0" applyNumberFormat="1" applyFont="1" applyBorder="1" applyAlignment="1">
      <alignment/>
    </xf>
    <xf numFmtId="0" fontId="1" fillId="0" borderId="39" xfId="0" applyFont="1" applyBorder="1" applyAlignment="1">
      <alignment/>
    </xf>
    <xf numFmtId="49" fontId="1" fillId="0" borderId="39" xfId="0" applyNumberFormat="1" applyFont="1" applyBorder="1" applyAlignment="1">
      <alignment horizontal="left"/>
    </xf>
    <xf numFmtId="164" fontId="1" fillId="0" borderId="39" xfId="0" applyNumberFormat="1" applyFont="1" applyBorder="1" applyAlignment="1">
      <alignment/>
    </xf>
    <xf numFmtId="0" fontId="1" fillId="0" borderId="41" xfId="0" applyFont="1" applyBorder="1" applyAlignment="1">
      <alignment/>
    </xf>
    <xf numFmtId="49" fontId="1" fillId="0" borderId="41" xfId="0" applyNumberFormat="1" applyFont="1" applyBorder="1" applyAlignment="1">
      <alignment/>
    </xf>
    <xf numFmtId="49" fontId="1" fillId="0" borderId="41" xfId="0" applyNumberFormat="1" applyFont="1" applyBorder="1" applyAlignment="1">
      <alignment horizontal="left"/>
    </xf>
    <xf numFmtId="0" fontId="1" fillId="0" borderId="39" xfId="0" applyFont="1" applyBorder="1" applyAlignment="1">
      <alignment wrapText="1"/>
    </xf>
    <xf numFmtId="0" fontId="1" fillId="0" borderId="19" xfId="0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5" fillId="0" borderId="8" xfId="0" applyNumberFormat="1" applyFont="1" applyBorder="1" applyAlignment="1">
      <alignment/>
    </xf>
    <xf numFmtId="0" fontId="1" fillId="0" borderId="23" xfId="0" applyFont="1" applyBorder="1" applyAlignment="1">
      <alignment/>
    </xf>
    <xf numFmtId="49" fontId="1" fillId="0" borderId="20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3" fillId="0" borderId="17" xfId="0" applyFont="1" applyBorder="1" applyAlignment="1">
      <alignment wrapText="1"/>
    </xf>
    <xf numFmtId="0" fontId="2" fillId="0" borderId="29" xfId="0" applyFont="1" applyBorder="1" applyAlignment="1">
      <alignment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/>
    </xf>
    <xf numFmtId="49" fontId="2" fillId="0" borderId="19" xfId="0" applyNumberFormat="1" applyFont="1" applyBorder="1" applyAlignment="1">
      <alignment horizontal="left"/>
    </xf>
    <xf numFmtId="0" fontId="1" fillId="0" borderId="10" xfId="0" applyFont="1" applyBorder="1" applyAlignment="1">
      <alignment wrapText="1"/>
    </xf>
    <xf numFmtId="49" fontId="17" fillId="0" borderId="19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49" fontId="17" fillId="0" borderId="12" xfId="0" applyNumberFormat="1" applyFont="1" applyBorder="1" applyAlignment="1">
      <alignment/>
    </xf>
    <xf numFmtId="49" fontId="1" fillId="0" borderId="29" xfId="0" applyNumberFormat="1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49" fontId="2" fillId="0" borderId="42" xfId="0" applyNumberFormat="1" applyFont="1" applyBorder="1" applyAlignment="1">
      <alignment horizontal="left"/>
    </xf>
    <xf numFmtId="164" fontId="2" fillId="0" borderId="29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0" fontId="1" fillId="0" borderId="40" xfId="0" applyFont="1" applyBorder="1" applyAlignment="1">
      <alignment/>
    </xf>
    <xf numFmtId="164" fontId="5" fillId="0" borderId="25" xfId="0" applyNumberFormat="1" applyFont="1" applyBorder="1" applyAlignment="1">
      <alignment/>
    </xf>
    <xf numFmtId="164" fontId="5" fillId="0" borderId="11" xfId="0" applyNumberFormat="1" applyFont="1" applyBorder="1" applyAlignment="1">
      <alignment wrapText="1"/>
    </xf>
    <xf numFmtId="164" fontId="5" fillId="0" borderId="5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49" fontId="2" fillId="0" borderId="42" xfId="0" applyNumberFormat="1" applyFont="1" applyBorder="1" applyAlignment="1">
      <alignment/>
    </xf>
    <xf numFmtId="0" fontId="2" fillId="0" borderId="42" xfId="0" applyFont="1" applyBorder="1" applyAlignment="1">
      <alignment wrapText="1"/>
    </xf>
    <xf numFmtId="0" fontId="1" fillId="0" borderId="39" xfId="0" applyFont="1" applyBorder="1" applyAlignment="1">
      <alignment/>
    </xf>
    <xf numFmtId="49" fontId="1" fillId="0" borderId="15" xfId="0" applyNumberFormat="1" applyFont="1" applyBorder="1" applyAlignment="1">
      <alignment horizontal="left"/>
    </xf>
    <xf numFmtId="164" fontId="1" fillId="0" borderId="15" xfId="0" applyNumberFormat="1" applyFont="1" applyBorder="1" applyAlignment="1">
      <alignment/>
    </xf>
    <xf numFmtId="164" fontId="2" fillId="0" borderId="29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1" fillId="0" borderId="29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1" fillId="0" borderId="9" xfId="0" applyFont="1" applyBorder="1" applyAlignment="1">
      <alignment/>
    </xf>
    <xf numFmtId="164" fontId="15" fillId="0" borderId="40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6" xfId="0" applyNumberFormat="1" applyFont="1" applyBorder="1" applyAlignment="1">
      <alignment horizontal="left"/>
    </xf>
    <xf numFmtId="164" fontId="3" fillId="0" borderId="11" xfId="0" applyNumberFormat="1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/>
    </xf>
    <xf numFmtId="49" fontId="2" fillId="0" borderId="4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164" fontId="14" fillId="0" borderId="17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164" fontId="2" fillId="0" borderId="37" xfId="0" applyNumberFormat="1" applyFont="1" applyBorder="1" applyAlignment="1">
      <alignment/>
    </xf>
    <xf numFmtId="49" fontId="1" fillId="0" borderId="3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/>
    </xf>
    <xf numFmtId="49" fontId="17" fillId="0" borderId="20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49" fontId="0" fillId="0" borderId="26" xfId="0" applyNumberFormat="1" applyFont="1" applyBorder="1" applyAlignment="1">
      <alignment/>
    </xf>
    <xf numFmtId="49" fontId="17" fillId="0" borderId="18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9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5" fillId="0" borderId="9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9" xfId="0" applyFont="1" applyBorder="1" applyAlignment="1">
      <alignment/>
    </xf>
    <xf numFmtId="0" fontId="5" fillId="0" borderId="10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5" fillId="0" borderId="10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8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9" xfId="0" applyFont="1" applyBorder="1" applyAlignment="1">
      <alignment/>
    </xf>
    <xf numFmtId="0" fontId="15" fillId="0" borderId="9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5" fillId="0" borderId="11" xfId="0" applyFont="1" applyBorder="1" applyAlignment="1">
      <alignment/>
    </xf>
    <xf numFmtId="0" fontId="1" fillId="0" borderId="9" xfId="0" applyFont="1" applyBorder="1" applyAlignment="1">
      <alignment wrapText="1"/>
    </xf>
    <xf numFmtId="0" fontId="5" fillId="0" borderId="5" xfId="0" applyFont="1" applyBorder="1" applyAlignment="1">
      <alignment/>
    </xf>
    <xf numFmtId="0" fontId="1" fillId="0" borderId="12" xfId="0" applyFont="1" applyBorder="1" applyAlignment="1">
      <alignment wrapText="1"/>
    </xf>
    <xf numFmtId="0" fontId="5" fillId="0" borderId="31" xfId="0" applyFont="1" applyBorder="1" applyAlignment="1">
      <alignment wrapText="1"/>
    </xf>
    <xf numFmtId="0" fontId="2" fillId="0" borderId="12" xfId="0" applyFont="1" applyBorder="1" applyAlignment="1">
      <alignment/>
    </xf>
    <xf numFmtId="0" fontId="17" fillId="0" borderId="10" xfId="0" applyFont="1" applyBorder="1" applyAlignment="1">
      <alignment wrapText="1"/>
    </xf>
    <xf numFmtId="0" fontId="17" fillId="0" borderId="12" xfId="0" applyFont="1" applyBorder="1" applyAlignment="1">
      <alignment/>
    </xf>
    <xf numFmtId="0" fontId="1" fillId="0" borderId="8" xfId="0" applyFont="1" applyBorder="1" applyAlignment="1">
      <alignment/>
    </xf>
    <xf numFmtId="49" fontId="15" fillId="0" borderId="1" xfId="0" applyNumberFormat="1" applyFont="1" applyBorder="1" applyAlignment="1">
      <alignment/>
    </xf>
    <xf numFmtId="0" fontId="3" fillId="0" borderId="38" xfId="0" applyFont="1" applyBorder="1" applyAlignment="1">
      <alignment horizontal="center"/>
    </xf>
    <xf numFmtId="49" fontId="2" fillId="0" borderId="31" xfId="0" applyNumberFormat="1" applyFont="1" applyBorder="1" applyAlignment="1">
      <alignment/>
    </xf>
    <xf numFmtId="49" fontId="2" fillId="0" borderId="32" xfId="0" applyNumberFormat="1" applyFont="1" applyBorder="1" applyAlignment="1">
      <alignment/>
    </xf>
    <xf numFmtId="49" fontId="2" fillId="0" borderId="35" xfId="0" applyNumberFormat="1" applyFont="1" applyBorder="1" applyAlignment="1">
      <alignment/>
    </xf>
    <xf numFmtId="49" fontId="2" fillId="0" borderId="31" xfId="0" applyNumberFormat="1" applyFont="1" applyBorder="1" applyAlignment="1">
      <alignment horizontal="left"/>
    </xf>
    <xf numFmtId="164" fontId="2" fillId="0" borderId="38" xfId="0" applyNumberFormat="1" applyFont="1" applyBorder="1" applyAlignment="1">
      <alignment/>
    </xf>
    <xf numFmtId="0" fontId="1" fillId="0" borderId="39" xfId="0" applyFont="1" applyBorder="1" applyAlignment="1">
      <alignment/>
    </xf>
    <xf numFmtId="49" fontId="1" fillId="0" borderId="39" xfId="0" applyNumberFormat="1" applyFont="1" applyBorder="1" applyAlignment="1">
      <alignment/>
    </xf>
    <xf numFmtId="49" fontId="1" fillId="0" borderId="39" xfId="0" applyNumberFormat="1" applyFont="1" applyBorder="1" applyAlignment="1">
      <alignment horizontal="left"/>
    </xf>
    <xf numFmtId="0" fontId="1" fillId="0" borderId="42" xfId="0" applyFont="1" applyBorder="1" applyAlignment="1">
      <alignment/>
    </xf>
    <xf numFmtId="49" fontId="1" fillId="0" borderId="42" xfId="0" applyNumberFormat="1" applyFont="1" applyBorder="1" applyAlignment="1">
      <alignment/>
    </xf>
    <xf numFmtId="49" fontId="1" fillId="0" borderId="42" xfId="0" applyNumberFormat="1" applyFont="1" applyBorder="1" applyAlignment="1">
      <alignment horizontal="left"/>
    </xf>
    <xf numFmtId="0" fontId="0" fillId="0" borderId="43" xfId="0" applyFont="1" applyBorder="1" applyAlignment="1">
      <alignment/>
    </xf>
    <xf numFmtId="49" fontId="0" fillId="0" borderId="44" xfId="0" applyNumberFormat="1" applyFont="1" applyBorder="1" applyAlignment="1">
      <alignment/>
    </xf>
    <xf numFmtId="49" fontId="0" fillId="0" borderId="44" xfId="0" applyNumberFormat="1" applyFont="1" applyBorder="1" applyAlignment="1">
      <alignment horizontal="left"/>
    </xf>
    <xf numFmtId="0" fontId="15" fillId="0" borderId="0" xfId="0" applyFont="1" applyAlignment="1">
      <alignment/>
    </xf>
    <xf numFmtId="49" fontId="1" fillId="0" borderId="45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left"/>
    </xf>
    <xf numFmtId="164" fontId="1" fillId="0" borderId="31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1" fillId="0" borderId="46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0" fillId="0" borderId="25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49" fontId="2" fillId="0" borderId="37" xfId="0" applyNumberFormat="1" applyFont="1" applyBorder="1" applyAlignment="1">
      <alignment horizontal="left"/>
    </xf>
    <xf numFmtId="49" fontId="1" fillId="0" borderId="46" xfId="0" applyNumberFormat="1" applyFont="1" applyBorder="1" applyAlignment="1">
      <alignment horizontal="left"/>
    </xf>
    <xf numFmtId="49" fontId="2" fillId="0" borderId="37" xfId="0" applyNumberFormat="1" applyFont="1" applyBorder="1" applyAlignment="1">
      <alignment/>
    </xf>
    <xf numFmtId="49" fontId="15" fillId="0" borderId="8" xfId="0" applyNumberFormat="1" applyFont="1" applyBorder="1" applyAlignment="1">
      <alignment/>
    </xf>
    <xf numFmtId="0" fontId="15" fillId="0" borderId="0" xfId="0" applyFont="1" applyBorder="1" applyAlignment="1">
      <alignment/>
    </xf>
    <xf numFmtId="164" fontId="15" fillId="0" borderId="7" xfId="0" applyNumberFormat="1" applyFont="1" applyBorder="1" applyAlignment="1">
      <alignment/>
    </xf>
    <xf numFmtId="164" fontId="15" fillId="0" borderId="8" xfId="0" applyNumberFormat="1" applyFont="1" applyBorder="1" applyAlignment="1">
      <alignment/>
    </xf>
    <xf numFmtId="0" fontId="1" fillId="0" borderId="23" xfId="0" applyFont="1" applyBorder="1" applyAlignment="1">
      <alignment wrapText="1"/>
    </xf>
    <xf numFmtId="49" fontId="15" fillId="0" borderId="7" xfId="0" applyNumberFormat="1" applyFont="1" applyBorder="1" applyAlignment="1">
      <alignment/>
    </xf>
    <xf numFmtId="49" fontId="15" fillId="0" borderId="14" xfId="0" applyNumberFormat="1" applyFont="1" applyBorder="1" applyAlignment="1">
      <alignment/>
    </xf>
    <xf numFmtId="49" fontId="1" fillId="0" borderId="22" xfId="0" applyNumberFormat="1" applyFont="1" applyBorder="1" applyAlignment="1">
      <alignment horizontal="left"/>
    </xf>
    <xf numFmtId="0" fontId="1" fillId="2" borderId="15" xfId="0" applyFont="1" applyFill="1" applyBorder="1" applyAlignment="1">
      <alignment/>
    </xf>
    <xf numFmtId="49" fontId="1" fillId="2" borderId="14" xfId="0" applyNumberFormat="1" applyFont="1" applyFill="1" applyBorder="1" applyAlignment="1">
      <alignment/>
    </xf>
    <xf numFmtId="49" fontId="1" fillId="2" borderId="10" xfId="0" applyNumberFormat="1" applyFont="1" applyFill="1" applyBorder="1" applyAlignment="1">
      <alignment/>
    </xf>
    <xf numFmtId="49" fontId="1" fillId="2" borderId="19" xfId="0" applyNumberFormat="1" applyFont="1" applyFill="1" applyBorder="1" applyAlignment="1">
      <alignment/>
    </xf>
    <xf numFmtId="49" fontId="1" fillId="2" borderId="14" xfId="0" applyNumberFormat="1" applyFont="1" applyFill="1" applyBorder="1" applyAlignment="1">
      <alignment horizontal="left"/>
    </xf>
    <xf numFmtId="164" fontId="1" fillId="2" borderId="10" xfId="0" applyNumberFormat="1" applyFont="1" applyFill="1" applyBorder="1" applyAlignment="1">
      <alignment/>
    </xf>
    <xf numFmtId="164" fontId="1" fillId="2" borderId="22" xfId="0" applyNumberFormat="1" applyFont="1" applyFill="1" applyBorder="1" applyAlignment="1">
      <alignment/>
    </xf>
    <xf numFmtId="49" fontId="15" fillId="0" borderId="11" xfId="0" applyNumberFormat="1" applyFont="1" applyBorder="1" applyAlignment="1">
      <alignment/>
    </xf>
    <xf numFmtId="0" fontId="1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3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3"/>
  <sheetViews>
    <sheetView workbookViewId="0" topLeftCell="A1">
      <selection activeCell="H3" sqref="H3"/>
    </sheetView>
  </sheetViews>
  <sheetFormatPr defaultColWidth="8.796875" defaultRowHeight="15"/>
  <cols>
    <col min="1" max="1" width="57.8984375" style="0" customWidth="1"/>
    <col min="2" max="2" width="5.3984375" style="1" customWidth="1"/>
    <col min="3" max="3" width="6" style="1" customWidth="1"/>
    <col min="4" max="4" width="10.59765625" style="1" customWidth="1"/>
    <col min="5" max="5" width="6.3984375" style="1" customWidth="1"/>
    <col min="6" max="6" width="0.1015625" style="1" hidden="1" customWidth="1"/>
    <col min="7" max="7" width="9.69921875" style="9" customWidth="1"/>
    <col min="8" max="8" width="11.69921875" style="0" customWidth="1"/>
    <col min="9" max="9" width="8.69921875" style="86" customWidth="1"/>
  </cols>
  <sheetData>
    <row r="1" ht="15.75">
      <c r="H1" s="426" t="s">
        <v>470</v>
      </c>
    </row>
    <row r="2" ht="15.75">
      <c r="H2" s="426" t="s">
        <v>267</v>
      </c>
    </row>
    <row r="3" ht="15.75">
      <c r="H3" s="426" t="s">
        <v>490</v>
      </c>
    </row>
    <row r="4" spans="7:8" ht="15.75">
      <c r="G4" s="48"/>
      <c r="H4" s="89" t="s">
        <v>290</v>
      </c>
    </row>
    <row r="5" ht="15.75">
      <c r="H5" s="89" t="s">
        <v>267</v>
      </c>
    </row>
    <row r="6" ht="15.75">
      <c r="H6" s="89" t="s">
        <v>471</v>
      </c>
    </row>
    <row r="7" ht="15.75">
      <c r="H7" s="89"/>
    </row>
    <row r="8" spans="1:8" ht="15.75">
      <c r="A8" s="431" t="s">
        <v>487</v>
      </c>
      <c r="B8" s="431"/>
      <c r="C8" s="431"/>
      <c r="D8" s="431"/>
      <c r="E8" s="431"/>
      <c r="F8" s="431"/>
      <c r="G8" s="431"/>
      <c r="H8" s="431"/>
    </row>
    <row r="9" spans="1:8" ht="18.75" customHeight="1">
      <c r="A9" s="432" t="s">
        <v>261</v>
      </c>
      <c r="B9" s="432"/>
      <c r="C9" s="432"/>
      <c r="D9" s="432"/>
      <c r="E9" s="432"/>
      <c r="F9" s="432"/>
      <c r="G9" s="432"/>
      <c r="H9" s="432"/>
    </row>
    <row r="10" spans="1:8" ht="18.75" customHeight="1" thickBot="1">
      <c r="A10" s="137"/>
      <c r="B10" s="137"/>
      <c r="C10" s="137"/>
      <c r="D10" s="137"/>
      <c r="E10" s="137"/>
      <c r="F10" s="137"/>
      <c r="G10" s="137"/>
      <c r="H10" s="138" t="s">
        <v>269</v>
      </c>
    </row>
    <row r="11" spans="1:9" s="48" customFormat="1" ht="16.5" thickBot="1">
      <c r="A11" s="351" t="s">
        <v>124</v>
      </c>
      <c r="B11" s="214" t="s">
        <v>182</v>
      </c>
      <c r="C11" s="19" t="s">
        <v>183</v>
      </c>
      <c r="D11" s="214" t="s">
        <v>184</v>
      </c>
      <c r="E11" s="19" t="s">
        <v>185</v>
      </c>
      <c r="F11" s="214"/>
      <c r="G11" s="223"/>
      <c r="H11" s="147" t="s">
        <v>89</v>
      </c>
      <c r="I11" s="86"/>
    </row>
    <row r="12" spans="1:9" s="48" customFormat="1" ht="33.75" thickBot="1">
      <c r="A12" s="352"/>
      <c r="B12" s="349"/>
      <c r="C12" s="11"/>
      <c r="D12" s="232"/>
      <c r="E12" s="11"/>
      <c r="F12" s="232"/>
      <c r="G12" s="224" t="s">
        <v>60</v>
      </c>
      <c r="H12" s="126" t="s">
        <v>249</v>
      </c>
      <c r="I12" s="86"/>
    </row>
    <row r="13" spans="1:9" s="48" customFormat="1" ht="16.5" thickBot="1">
      <c r="A13" s="353" t="s">
        <v>17</v>
      </c>
      <c r="B13" s="13" t="s">
        <v>186</v>
      </c>
      <c r="C13" s="21" t="s">
        <v>126</v>
      </c>
      <c r="D13" s="13"/>
      <c r="E13" s="21"/>
      <c r="F13" s="13"/>
      <c r="G13" s="225">
        <f>G14+G41+G45+G24+G18+G35+G28+G32</f>
        <v>161870.5</v>
      </c>
      <c r="H13" s="285">
        <f>H14+H41+H45+H24+H18+H35+H28+H32</f>
        <v>10165</v>
      </c>
      <c r="I13" s="86"/>
    </row>
    <row r="14" spans="1:9" s="48" customFormat="1" ht="29.25">
      <c r="A14" s="354" t="s">
        <v>102</v>
      </c>
      <c r="B14" s="166" t="s">
        <v>186</v>
      </c>
      <c r="C14" s="148" t="s">
        <v>187</v>
      </c>
      <c r="D14" s="166"/>
      <c r="E14" s="148"/>
      <c r="F14" s="166"/>
      <c r="G14" s="226">
        <f aca="true" t="shared" si="0" ref="G14:H16">G15</f>
        <v>1577.3</v>
      </c>
      <c r="H14" s="150">
        <f t="shared" si="0"/>
        <v>0</v>
      </c>
      <c r="I14" s="86"/>
    </row>
    <row r="15" spans="1:9" s="48" customFormat="1" ht="42.75" customHeight="1">
      <c r="A15" s="291" t="s">
        <v>304</v>
      </c>
      <c r="B15" s="30" t="s">
        <v>186</v>
      </c>
      <c r="C15" s="18" t="s">
        <v>187</v>
      </c>
      <c r="D15" s="30" t="s">
        <v>277</v>
      </c>
      <c r="E15" s="18"/>
      <c r="F15" s="30"/>
      <c r="G15" s="339">
        <f t="shared" si="0"/>
        <v>1577.3</v>
      </c>
      <c r="H15" s="38">
        <f t="shared" si="0"/>
        <v>0</v>
      </c>
      <c r="I15" s="86"/>
    </row>
    <row r="16" spans="1:9" s="48" customFormat="1" ht="15.75">
      <c r="A16" s="372" t="s">
        <v>302</v>
      </c>
      <c r="B16" s="30" t="s">
        <v>186</v>
      </c>
      <c r="C16" s="18" t="s">
        <v>187</v>
      </c>
      <c r="D16" s="30" t="s">
        <v>303</v>
      </c>
      <c r="E16" s="18"/>
      <c r="F16" s="30"/>
      <c r="G16" s="339">
        <f t="shared" si="0"/>
        <v>1577.3</v>
      </c>
      <c r="H16" s="38">
        <f t="shared" si="0"/>
        <v>0</v>
      </c>
      <c r="I16" s="86"/>
    </row>
    <row r="17" spans="1:9" s="48" customFormat="1" ht="15.75">
      <c r="A17" s="325" t="s">
        <v>146</v>
      </c>
      <c r="B17" s="30" t="s">
        <v>186</v>
      </c>
      <c r="C17" s="18" t="s">
        <v>187</v>
      </c>
      <c r="D17" s="30" t="s">
        <v>303</v>
      </c>
      <c r="E17" s="18" t="s">
        <v>278</v>
      </c>
      <c r="F17" s="30"/>
      <c r="G17" s="339">
        <f>'Прилож №3'!H16</f>
        <v>1577.3</v>
      </c>
      <c r="H17" s="38">
        <f>'Прилож №3'!I16</f>
        <v>0</v>
      </c>
      <c r="I17" s="86"/>
    </row>
    <row r="18" spans="1:8" s="396" customFormat="1" ht="45">
      <c r="A18" s="369" t="s">
        <v>305</v>
      </c>
      <c r="B18" s="152" t="s">
        <v>186</v>
      </c>
      <c r="C18" s="151" t="s">
        <v>191</v>
      </c>
      <c r="D18" s="152"/>
      <c r="E18" s="151"/>
      <c r="F18" s="152"/>
      <c r="G18" s="180">
        <f>G19</f>
        <v>3000</v>
      </c>
      <c r="H18" s="154">
        <f>H19</f>
        <v>0</v>
      </c>
    </row>
    <row r="19" spans="1:9" s="48" customFormat="1" ht="39">
      <c r="A19" s="358" t="s">
        <v>301</v>
      </c>
      <c r="B19" s="74" t="s">
        <v>186</v>
      </c>
      <c r="C19" s="73" t="s">
        <v>191</v>
      </c>
      <c r="D19" s="74" t="s">
        <v>277</v>
      </c>
      <c r="E19" s="151"/>
      <c r="F19" s="152"/>
      <c r="G19" s="339">
        <f>G22+G20</f>
        <v>3000</v>
      </c>
      <c r="H19" s="38">
        <f>H22</f>
        <v>0</v>
      </c>
      <c r="I19" s="86"/>
    </row>
    <row r="20" spans="1:9" s="48" customFormat="1" ht="15.75">
      <c r="A20" s="325" t="s">
        <v>50</v>
      </c>
      <c r="B20" s="74" t="s">
        <v>186</v>
      </c>
      <c r="C20" s="73" t="s">
        <v>191</v>
      </c>
      <c r="D20" s="74" t="s">
        <v>279</v>
      </c>
      <c r="E20" s="151"/>
      <c r="F20" s="152"/>
      <c r="G20" s="339">
        <f>G21</f>
        <v>2144</v>
      </c>
      <c r="H20" s="38"/>
      <c r="I20" s="86"/>
    </row>
    <row r="21" spans="1:9" s="48" customFormat="1" ht="15.75">
      <c r="A21" s="325" t="s">
        <v>146</v>
      </c>
      <c r="B21" s="74" t="s">
        <v>186</v>
      </c>
      <c r="C21" s="73" t="s">
        <v>191</v>
      </c>
      <c r="D21" s="74" t="s">
        <v>279</v>
      </c>
      <c r="E21" s="18" t="s">
        <v>278</v>
      </c>
      <c r="F21" s="152"/>
      <c r="G21" s="339">
        <f>'Прилож №3'!H503</f>
        <v>2144</v>
      </c>
      <c r="H21" s="38"/>
      <c r="I21" s="86"/>
    </row>
    <row r="22" spans="1:9" s="48" customFormat="1" ht="15.75">
      <c r="A22" s="359" t="s">
        <v>306</v>
      </c>
      <c r="B22" s="74" t="s">
        <v>186</v>
      </c>
      <c r="C22" s="73" t="s">
        <v>191</v>
      </c>
      <c r="D22" s="74" t="s">
        <v>307</v>
      </c>
      <c r="E22" s="151"/>
      <c r="F22" s="152"/>
      <c r="G22" s="339">
        <f>G23</f>
        <v>856</v>
      </c>
      <c r="H22" s="38">
        <f>H23</f>
        <v>0</v>
      </c>
      <c r="I22" s="86"/>
    </row>
    <row r="23" spans="1:9" s="48" customFormat="1" ht="15.75">
      <c r="A23" s="359" t="s">
        <v>146</v>
      </c>
      <c r="B23" s="74" t="s">
        <v>186</v>
      </c>
      <c r="C23" s="73" t="s">
        <v>191</v>
      </c>
      <c r="D23" s="74" t="s">
        <v>307</v>
      </c>
      <c r="E23" s="18" t="s">
        <v>278</v>
      </c>
      <c r="F23" s="152"/>
      <c r="G23" s="339">
        <f>'Прилож №3'!H20+'Прилож №3'!H505</f>
        <v>856</v>
      </c>
      <c r="H23" s="38">
        <f>'Прилож №3'!I20</f>
        <v>0</v>
      </c>
      <c r="I23" s="86"/>
    </row>
    <row r="24" spans="1:9" s="48" customFormat="1" ht="28.5" customHeight="1">
      <c r="A24" s="360" t="s">
        <v>103</v>
      </c>
      <c r="B24" s="156" t="s">
        <v>186</v>
      </c>
      <c r="C24" s="155" t="s">
        <v>188</v>
      </c>
      <c r="D24" s="156"/>
      <c r="E24" s="155"/>
      <c r="F24" s="156"/>
      <c r="G24" s="179">
        <f aca="true" t="shared" si="1" ref="G24:H26">G25</f>
        <v>90079.5</v>
      </c>
      <c r="H24" s="158">
        <f t="shared" si="1"/>
        <v>5147</v>
      </c>
      <c r="I24" s="86"/>
    </row>
    <row r="25" spans="1:9" s="48" customFormat="1" ht="18.75" customHeight="1">
      <c r="A25" s="291" t="s">
        <v>147</v>
      </c>
      <c r="B25" s="30" t="s">
        <v>186</v>
      </c>
      <c r="C25" s="18" t="s">
        <v>188</v>
      </c>
      <c r="D25" s="30" t="s">
        <v>277</v>
      </c>
      <c r="E25" s="18"/>
      <c r="F25" s="30"/>
      <c r="G25" s="339">
        <f t="shared" si="1"/>
        <v>90079.5</v>
      </c>
      <c r="H25" s="38">
        <f t="shared" si="1"/>
        <v>5147</v>
      </c>
      <c r="I25" s="86"/>
    </row>
    <row r="26" spans="1:9" s="48" customFormat="1" ht="15.75">
      <c r="A26" s="325" t="s">
        <v>50</v>
      </c>
      <c r="B26" s="30" t="s">
        <v>186</v>
      </c>
      <c r="C26" s="18" t="s">
        <v>188</v>
      </c>
      <c r="D26" s="30" t="s">
        <v>279</v>
      </c>
      <c r="E26" s="18"/>
      <c r="F26" s="30"/>
      <c r="G26" s="339">
        <f t="shared" si="1"/>
        <v>90079.5</v>
      </c>
      <c r="H26" s="38">
        <f t="shared" si="1"/>
        <v>5147</v>
      </c>
      <c r="I26" s="86"/>
    </row>
    <row r="27" spans="1:9" s="48" customFormat="1" ht="15.75">
      <c r="A27" s="325" t="s">
        <v>146</v>
      </c>
      <c r="B27" s="30" t="s">
        <v>186</v>
      </c>
      <c r="C27" s="18" t="s">
        <v>188</v>
      </c>
      <c r="D27" s="30" t="s">
        <v>279</v>
      </c>
      <c r="E27" s="18" t="s">
        <v>278</v>
      </c>
      <c r="F27" s="30"/>
      <c r="G27" s="339">
        <f>'Прилож №3'!H26</f>
        <v>90079.5</v>
      </c>
      <c r="H27" s="38">
        <f>'Прилож №3'!I26</f>
        <v>5147</v>
      </c>
      <c r="I27" s="86"/>
    </row>
    <row r="28" spans="1:9" s="23" customFormat="1" ht="15.75">
      <c r="A28" s="324" t="s">
        <v>414</v>
      </c>
      <c r="B28" s="156" t="s">
        <v>186</v>
      </c>
      <c r="C28" s="155" t="s">
        <v>200</v>
      </c>
      <c r="D28" s="156"/>
      <c r="E28" s="155"/>
      <c r="F28" s="156"/>
      <c r="G28" s="179">
        <f>G29</f>
        <v>38.1</v>
      </c>
      <c r="H28" s="158"/>
      <c r="I28" s="119"/>
    </row>
    <row r="29" spans="1:9" s="48" customFormat="1" ht="15.75">
      <c r="A29" s="325" t="s">
        <v>147</v>
      </c>
      <c r="B29" s="30" t="s">
        <v>186</v>
      </c>
      <c r="C29" s="18" t="s">
        <v>200</v>
      </c>
      <c r="D29" s="30" t="s">
        <v>415</v>
      </c>
      <c r="E29" s="18"/>
      <c r="F29" s="30"/>
      <c r="G29" s="339">
        <f>G30</f>
        <v>38.1</v>
      </c>
      <c r="H29" s="38"/>
      <c r="I29" s="86"/>
    </row>
    <row r="30" spans="1:9" s="48" customFormat="1" ht="26.25">
      <c r="A30" s="372" t="s">
        <v>416</v>
      </c>
      <c r="B30" s="30" t="s">
        <v>186</v>
      </c>
      <c r="C30" s="18" t="s">
        <v>200</v>
      </c>
      <c r="D30" s="30" t="s">
        <v>418</v>
      </c>
      <c r="E30" s="18"/>
      <c r="F30" s="30"/>
      <c r="G30" s="339">
        <f>G31</f>
        <v>38.1</v>
      </c>
      <c r="H30" s="38"/>
      <c r="I30" s="86"/>
    </row>
    <row r="31" spans="1:9" s="48" customFormat="1" ht="15.75">
      <c r="A31" s="325" t="s">
        <v>146</v>
      </c>
      <c r="B31" s="30" t="s">
        <v>186</v>
      </c>
      <c r="C31" s="18" t="s">
        <v>200</v>
      </c>
      <c r="D31" s="30" t="s">
        <v>418</v>
      </c>
      <c r="E31" s="18" t="s">
        <v>278</v>
      </c>
      <c r="F31" s="30"/>
      <c r="G31" s="339">
        <f>'Прилож №3'!H30</f>
        <v>38.1</v>
      </c>
      <c r="H31" s="38"/>
      <c r="I31" s="86"/>
    </row>
    <row r="32" spans="1:9" s="48" customFormat="1" ht="26.25">
      <c r="A32" s="361" t="s">
        <v>439</v>
      </c>
      <c r="B32" s="152" t="s">
        <v>186</v>
      </c>
      <c r="C32" s="151" t="s">
        <v>205</v>
      </c>
      <c r="D32" s="152"/>
      <c r="E32" s="151"/>
      <c r="F32" s="152"/>
      <c r="G32" s="180">
        <f>G33</f>
        <v>5671.6</v>
      </c>
      <c r="H32" s="154">
        <f>H33</f>
        <v>5018</v>
      </c>
      <c r="I32" s="86"/>
    </row>
    <row r="33" spans="1:9" s="48" customFormat="1" ht="15.75">
      <c r="A33" s="325" t="s">
        <v>146</v>
      </c>
      <c r="B33" s="30" t="s">
        <v>186</v>
      </c>
      <c r="C33" s="18" t="s">
        <v>205</v>
      </c>
      <c r="D33" s="30" t="s">
        <v>279</v>
      </c>
      <c r="E33" s="18"/>
      <c r="F33" s="30"/>
      <c r="G33" s="339">
        <f>G34</f>
        <v>5671.6</v>
      </c>
      <c r="H33" s="38">
        <f>H34</f>
        <v>5018</v>
      </c>
      <c r="I33" s="86"/>
    </row>
    <row r="34" spans="1:9" s="48" customFormat="1" ht="15.75">
      <c r="A34" s="325" t="s">
        <v>146</v>
      </c>
      <c r="B34" s="30" t="s">
        <v>186</v>
      </c>
      <c r="C34" s="18" t="s">
        <v>205</v>
      </c>
      <c r="D34" s="30" t="s">
        <v>279</v>
      </c>
      <c r="E34" s="18" t="s">
        <v>278</v>
      </c>
      <c r="F34" s="30"/>
      <c r="G34" s="339">
        <f>'Прилож №3'!H510</f>
        <v>5671.6</v>
      </c>
      <c r="H34" s="38">
        <f>'Прилож №3'!I510</f>
        <v>5018</v>
      </c>
      <c r="I34" s="86"/>
    </row>
    <row r="35" spans="1:9" s="23" customFormat="1" ht="15.75">
      <c r="A35" s="324" t="s">
        <v>310</v>
      </c>
      <c r="B35" s="156" t="s">
        <v>186</v>
      </c>
      <c r="C35" s="155" t="s">
        <v>194</v>
      </c>
      <c r="D35" s="156"/>
      <c r="E35" s="155"/>
      <c r="F35" s="156"/>
      <c r="G35" s="179">
        <f>G36</f>
        <v>1103.4</v>
      </c>
      <c r="H35" s="158">
        <f>H36</f>
        <v>0</v>
      </c>
      <c r="I35" s="119"/>
    </row>
    <row r="36" spans="1:9" s="48" customFormat="1" ht="15.75">
      <c r="A36" s="325" t="s">
        <v>311</v>
      </c>
      <c r="B36" s="30" t="s">
        <v>186</v>
      </c>
      <c r="C36" s="18" t="s">
        <v>194</v>
      </c>
      <c r="D36" s="30" t="s">
        <v>312</v>
      </c>
      <c r="E36" s="18"/>
      <c r="F36" s="113"/>
      <c r="G36" s="339">
        <f>G37+G39</f>
        <v>1103.4</v>
      </c>
      <c r="H36" s="38">
        <f>H37+H39</f>
        <v>0</v>
      </c>
      <c r="I36" s="86"/>
    </row>
    <row r="37" spans="1:9" s="48" customFormat="1" ht="17.25" customHeight="1">
      <c r="A37" s="372" t="s">
        <v>313</v>
      </c>
      <c r="B37" s="30" t="s">
        <v>186</v>
      </c>
      <c r="C37" s="18" t="s">
        <v>194</v>
      </c>
      <c r="D37" s="30" t="s">
        <v>314</v>
      </c>
      <c r="E37" s="18"/>
      <c r="F37" s="113"/>
      <c r="G37" s="339">
        <f>G38</f>
        <v>346.5</v>
      </c>
      <c r="H37" s="38">
        <f>H38</f>
        <v>0</v>
      </c>
      <c r="I37" s="86"/>
    </row>
    <row r="38" spans="1:9" s="48" customFormat="1" ht="15.75">
      <c r="A38" s="325" t="s">
        <v>146</v>
      </c>
      <c r="B38" s="30" t="s">
        <v>186</v>
      </c>
      <c r="C38" s="18" t="s">
        <v>194</v>
      </c>
      <c r="D38" s="30" t="s">
        <v>314</v>
      </c>
      <c r="E38" s="18" t="s">
        <v>278</v>
      </c>
      <c r="F38" s="113" t="s">
        <v>278</v>
      </c>
      <c r="G38" s="339">
        <f>'Прилож №3'!H495</f>
        <v>346.5</v>
      </c>
      <c r="H38" s="38">
        <f>'Прилож №3'!I495</f>
        <v>0</v>
      </c>
      <c r="I38" s="86"/>
    </row>
    <row r="39" spans="1:9" s="48" customFormat="1" ht="15.75">
      <c r="A39" s="372" t="s">
        <v>315</v>
      </c>
      <c r="B39" s="30" t="s">
        <v>186</v>
      </c>
      <c r="C39" s="18" t="s">
        <v>194</v>
      </c>
      <c r="D39" s="30" t="s">
        <v>316</v>
      </c>
      <c r="E39" s="18"/>
      <c r="F39" s="113"/>
      <c r="G39" s="339">
        <f>G40</f>
        <v>756.9</v>
      </c>
      <c r="H39" s="38">
        <f>H40</f>
        <v>0</v>
      </c>
      <c r="I39" s="86"/>
    </row>
    <row r="40" spans="1:9" s="48" customFormat="1" ht="16.5" customHeight="1" thickBot="1">
      <c r="A40" s="379" t="s">
        <v>146</v>
      </c>
      <c r="B40" s="30" t="s">
        <v>186</v>
      </c>
      <c r="C40" s="18" t="s">
        <v>194</v>
      </c>
      <c r="D40" s="397" t="s">
        <v>316</v>
      </c>
      <c r="E40" s="20" t="s">
        <v>278</v>
      </c>
      <c r="F40" s="398" t="s">
        <v>278</v>
      </c>
      <c r="G40" s="339">
        <f>'Прилож №3'!H497</f>
        <v>756.9</v>
      </c>
      <c r="H40" s="38">
        <f>'Прилож №3'!I497</f>
        <v>0</v>
      </c>
      <c r="I40" s="86"/>
    </row>
    <row r="41" spans="1:9" s="48" customFormat="1" ht="15.75">
      <c r="A41" s="362" t="s">
        <v>16</v>
      </c>
      <c r="B41" s="156" t="s">
        <v>186</v>
      </c>
      <c r="C41" s="155" t="s">
        <v>189</v>
      </c>
      <c r="D41" s="156"/>
      <c r="E41" s="155"/>
      <c r="F41" s="156" t="s">
        <v>1</v>
      </c>
      <c r="G41" s="179">
        <f aca="true" t="shared" si="2" ref="G41:H43">G42</f>
        <v>6000</v>
      </c>
      <c r="H41" s="158">
        <f t="shared" si="2"/>
        <v>0</v>
      </c>
      <c r="I41" s="86"/>
    </row>
    <row r="42" spans="1:9" s="48" customFormat="1" ht="15.75">
      <c r="A42" s="268" t="s">
        <v>16</v>
      </c>
      <c r="B42" s="31" t="s">
        <v>186</v>
      </c>
      <c r="C42" s="20" t="s">
        <v>189</v>
      </c>
      <c r="D42" s="31" t="s">
        <v>19</v>
      </c>
      <c r="E42" s="18"/>
      <c r="F42" s="31"/>
      <c r="G42" s="320">
        <f t="shared" si="2"/>
        <v>6000</v>
      </c>
      <c r="H42" s="36">
        <f t="shared" si="2"/>
        <v>0</v>
      </c>
      <c r="I42" s="86"/>
    </row>
    <row r="43" spans="1:9" s="48" customFormat="1" ht="15.75">
      <c r="A43" s="291" t="s">
        <v>149</v>
      </c>
      <c r="B43" s="31" t="s">
        <v>186</v>
      </c>
      <c r="C43" s="20" t="s">
        <v>189</v>
      </c>
      <c r="D43" s="31" t="s">
        <v>150</v>
      </c>
      <c r="E43" s="18"/>
      <c r="F43" s="31"/>
      <c r="G43" s="320">
        <f t="shared" si="2"/>
        <v>6000</v>
      </c>
      <c r="H43" s="36">
        <f t="shared" si="2"/>
        <v>0</v>
      </c>
      <c r="I43" s="86"/>
    </row>
    <row r="44" spans="1:9" s="48" customFormat="1" ht="15.75">
      <c r="A44" s="325" t="s">
        <v>148</v>
      </c>
      <c r="B44" s="30" t="s">
        <v>186</v>
      </c>
      <c r="C44" s="18" t="s">
        <v>189</v>
      </c>
      <c r="D44" s="30" t="s">
        <v>150</v>
      </c>
      <c r="E44" s="18" t="s">
        <v>128</v>
      </c>
      <c r="F44" s="30"/>
      <c r="G44" s="339">
        <f>'Прилож №3'!H34</f>
        <v>6000</v>
      </c>
      <c r="H44" s="38">
        <f>'Прилож №3'!I34</f>
        <v>0</v>
      </c>
      <c r="I44" s="86"/>
    </row>
    <row r="45" spans="1:9" s="48" customFormat="1" ht="15.75">
      <c r="A45" s="362" t="s">
        <v>80</v>
      </c>
      <c r="B45" s="156" t="s">
        <v>186</v>
      </c>
      <c r="C45" s="155" t="s">
        <v>190</v>
      </c>
      <c r="D45" s="156"/>
      <c r="E45" s="155"/>
      <c r="F45" s="156"/>
      <c r="G45" s="179">
        <f>G46+G49+G52</f>
        <v>54400.6</v>
      </c>
      <c r="H45" s="158">
        <f>H46+H49</f>
        <v>0</v>
      </c>
      <c r="I45" s="86"/>
    </row>
    <row r="46" spans="1:9" s="48" customFormat="1" ht="39">
      <c r="A46" s="291" t="s">
        <v>301</v>
      </c>
      <c r="B46" s="30" t="s">
        <v>186</v>
      </c>
      <c r="C46" s="18" t="s">
        <v>190</v>
      </c>
      <c r="D46" s="30" t="s">
        <v>277</v>
      </c>
      <c r="E46" s="18"/>
      <c r="F46" s="30"/>
      <c r="G46" s="339">
        <f>G47</f>
        <v>20938.699999999997</v>
      </c>
      <c r="H46" s="38">
        <f>H47</f>
        <v>0</v>
      </c>
      <c r="I46" s="86"/>
    </row>
    <row r="47" spans="1:9" s="48" customFormat="1" ht="15.75">
      <c r="A47" s="269" t="s">
        <v>50</v>
      </c>
      <c r="B47" s="30" t="s">
        <v>186</v>
      </c>
      <c r="C47" s="18" t="s">
        <v>190</v>
      </c>
      <c r="D47" s="30" t="s">
        <v>279</v>
      </c>
      <c r="E47" s="18"/>
      <c r="F47" s="30"/>
      <c r="G47" s="339">
        <f>G48</f>
        <v>20938.699999999997</v>
      </c>
      <c r="H47" s="38">
        <f>H48</f>
        <v>0</v>
      </c>
      <c r="I47" s="86"/>
    </row>
    <row r="48" spans="1:9" s="48" customFormat="1" ht="15.75">
      <c r="A48" s="325" t="s">
        <v>146</v>
      </c>
      <c r="B48" s="30" t="s">
        <v>186</v>
      </c>
      <c r="C48" s="18" t="s">
        <v>190</v>
      </c>
      <c r="D48" s="30" t="s">
        <v>279</v>
      </c>
      <c r="E48" s="18" t="s">
        <v>278</v>
      </c>
      <c r="F48" s="30"/>
      <c r="G48" s="339">
        <f>'Прилож №3'!H392+'Прилож №3'!H448</f>
        <v>20938.699999999997</v>
      </c>
      <c r="H48" s="38">
        <f>'Прилож №3'!I392+'Прилож №3'!I448</f>
        <v>0</v>
      </c>
      <c r="I48" s="86"/>
    </row>
    <row r="49" spans="1:9" s="48" customFormat="1" ht="26.25">
      <c r="A49" s="291" t="s">
        <v>204</v>
      </c>
      <c r="B49" s="30" t="s">
        <v>186</v>
      </c>
      <c r="C49" s="18" t="s">
        <v>190</v>
      </c>
      <c r="D49" s="30" t="s">
        <v>138</v>
      </c>
      <c r="E49" s="18"/>
      <c r="F49" s="30"/>
      <c r="G49" s="339">
        <f>G50</f>
        <v>32961.9</v>
      </c>
      <c r="H49" s="38">
        <f>H50</f>
        <v>0</v>
      </c>
      <c r="I49" s="86"/>
    </row>
    <row r="50" spans="1:9" s="48" customFormat="1" ht="15.75">
      <c r="A50" s="291" t="s">
        <v>77</v>
      </c>
      <c r="B50" s="30" t="s">
        <v>186</v>
      </c>
      <c r="C50" s="18" t="s">
        <v>190</v>
      </c>
      <c r="D50" s="30" t="s">
        <v>203</v>
      </c>
      <c r="E50" s="18"/>
      <c r="F50" s="30"/>
      <c r="G50" s="339">
        <f>G51</f>
        <v>32961.9</v>
      </c>
      <c r="H50" s="38">
        <f>H51</f>
        <v>0</v>
      </c>
      <c r="I50" s="86"/>
    </row>
    <row r="51" spans="1:9" s="48" customFormat="1" ht="15.75">
      <c r="A51" s="379" t="s">
        <v>146</v>
      </c>
      <c r="B51" s="31" t="s">
        <v>186</v>
      </c>
      <c r="C51" s="20" t="s">
        <v>190</v>
      </c>
      <c r="D51" s="31" t="s">
        <v>203</v>
      </c>
      <c r="E51" s="20" t="s">
        <v>278</v>
      </c>
      <c r="F51" s="31"/>
      <c r="G51" s="320">
        <f>'Прилож №3'!H451+'Прилож №3'!H36</f>
        <v>32961.9</v>
      </c>
      <c r="H51" s="36">
        <f>'Прилож №3'!I451</f>
        <v>0</v>
      </c>
      <c r="I51" s="118"/>
    </row>
    <row r="52" spans="1:9" s="48" customFormat="1" ht="15.75">
      <c r="A52" s="269" t="s">
        <v>131</v>
      </c>
      <c r="B52" s="31" t="s">
        <v>186</v>
      </c>
      <c r="C52" s="20" t="s">
        <v>190</v>
      </c>
      <c r="D52" s="30" t="s">
        <v>132</v>
      </c>
      <c r="E52" s="18"/>
      <c r="F52" s="7"/>
      <c r="G52" s="302">
        <f>G53</f>
        <v>500</v>
      </c>
      <c r="H52" s="38"/>
      <c r="I52" s="118"/>
    </row>
    <row r="53" spans="1:9" s="48" customFormat="1" ht="26.25">
      <c r="A53" s="291" t="s">
        <v>348</v>
      </c>
      <c r="B53" s="31" t="s">
        <v>186</v>
      </c>
      <c r="C53" s="20" t="s">
        <v>190</v>
      </c>
      <c r="D53" s="30" t="s">
        <v>349</v>
      </c>
      <c r="E53" s="18"/>
      <c r="F53" s="7"/>
      <c r="G53" s="302">
        <f>G54</f>
        <v>500</v>
      </c>
      <c r="H53" s="38"/>
      <c r="I53" s="118"/>
    </row>
    <row r="54" spans="1:9" s="48" customFormat="1" ht="15.75">
      <c r="A54" s="325" t="s">
        <v>146</v>
      </c>
      <c r="B54" s="31" t="s">
        <v>186</v>
      </c>
      <c r="C54" s="20" t="s">
        <v>190</v>
      </c>
      <c r="D54" s="30" t="s">
        <v>349</v>
      </c>
      <c r="E54" s="18" t="s">
        <v>278</v>
      </c>
      <c r="F54" s="7"/>
      <c r="G54" s="302">
        <f>'Прилож №3'!H41</f>
        <v>500</v>
      </c>
      <c r="H54" s="38"/>
      <c r="I54" s="118"/>
    </row>
    <row r="55" spans="1:9" s="48" customFormat="1" ht="16.5" thickBot="1">
      <c r="A55" s="365" t="s">
        <v>81</v>
      </c>
      <c r="B55" s="204" t="s">
        <v>187</v>
      </c>
      <c r="C55" s="186" t="s">
        <v>126</v>
      </c>
      <c r="D55" s="204"/>
      <c r="E55" s="186"/>
      <c r="F55" s="204"/>
      <c r="G55" s="228">
        <f aca="true" t="shared" si="3" ref="G55:H58">G56</f>
        <v>223.29999999999995</v>
      </c>
      <c r="H55" s="183">
        <f t="shared" si="3"/>
        <v>0</v>
      </c>
      <c r="I55" s="86"/>
    </row>
    <row r="56" spans="1:9" s="48" customFormat="1" ht="15.75">
      <c r="A56" s="366" t="s">
        <v>82</v>
      </c>
      <c r="B56" s="166" t="s">
        <v>187</v>
      </c>
      <c r="C56" s="148" t="s">
        <v>188</v>
      </c>
      <c r="D56" s="166"/>
      <c r="E56" s="148"/>
      <c r="F56" s="166"/>
      <c r="G56" s="226">
        <f t="shared" si="3"/>
        <v>223.29999999999995</v>
      </c>
      <c r="H56" s="150">
        <f t="shared" si="3"/>
        <v>0</v>
      </c>
      <c r="I56" s="86"/>
    </row>
    <row r="57" spans="1:9" s="48" customFormat="1" ht="26.25">
      <c r="A57" s="291" t="s">
        <v>104</v>
      </c>
      <c r="B57" s="30" t="s">
        <v>187</v>
      </c>
      <c r="C57" s="18" t="s">
        <v>188</v>
      </c>
      <c r="D57" s="30" t="s">
        <v>83</v>
      </c>
      <c r="E57" s="18"/>
      <c r="F57" s="30"/>
      <c r="G57" s="339">
        <f t="shared" si="3"/>
        <v>223.29999999999995</v>
      </c>
      <c r="H57" s="38">
        <f t="shared" si="3"/>
        <v>0</v>
      </c>
      <c r="I57" s="86"/>
    </row>
    <row r="58" spans="1:9" s="48" customFormat="1" ht="18" customHeight="1">
      <c r="A58" s="291" t="s">
        <v>105</v>
      </c>
      <c r="B58" s="30" t="s">
        <v>187</v>
      </c>
      <c r="C58" s="18" t="s">
        <v>188</v>
      </c>
      <c r="D58" s="30" t="s">
        <v>151</v>
      </c>
      <c r="E58" s="18"/>
      <c r="F58" s="10"/>
      <c r="G58" s="320">
        <f t="shared" si="3"/>
        <v>223.29999999999995</v>
      </c>
      <c r="H58" s="36">
        <f t="shared" si="3"/>
        <v>0</v>
      </c>
      <c r="I58" s="86"/>
    </row>
    <row r="59" spans="1:9" s="48" customFormat="1" ht="15" customHeight="1" thickBot="1">
      <c r="A59" s="325" t="s">
        <v>146</v>
      </c>
      <c r="B59" s="31" t="s">
        <v>187</v>
      </c>
      <c r="C59" s="20" t="s">
        <v>188</v>
      </c>
      <c r="D59" s="31" t="s">
        <v>151</v>
      </c>
      <c r="E59" s="20" t="s">
        <v>278</v>
      </c>
      <c r="F59" s="10"/>
      <c r="G59" s="320">
        <f>'Прилож №3'!H46</f>
        <v>223.29999999999995</v>
      </c>
      <c r="H59" s="36">
        <f>'Прилож №3'!I46</f>
        <v>0</v>
      </c>
      <c r="I59" s="86"/>
    </row>
    <row r="60" spans="1:9" s="170" customFormat="1" ht="18.75" customHeight="1" thickBot="1">
      <c r="A60" s="367" t="s">
        <v>115</v>
      </c>
      <c r="B60" s="168" t="s">
        <v>191</v>
      </c>
      <c r="C60" s="167" t="s">
        <v>126</v>
      </c>
      <c r="D60" s="168"/>
      <c r="E60" s="167"/>
      <c r="F60" s="169" t="s">
        <v>2</v>
      </c>
      <c r="G60" s="227">
        <f>G61+G77+G84</f>
        <v>27640.600000000002</v>
      </c>
      <c r="H60" s="313">
        <f>H61+H77+H84</f>
        <v>2989</v>
      </c>
      <c r="I60" s="118"/>
    </row>
    <row r="61" spans="1:9" s="23" customFormat="1" ht="15.75">
      <c r="A61" s="368" t="s">
        <v>20</v>
      </c>
      <c r="B61" s="166" t="s">
        <v>191</v>
      </c>
      <c r="C61" s="148" t="s">
        <v>187</v>
      </c>
      <c r="D61" s="166"/>
      <c r="E61" s="148"/>
      <c r="F61" s="166"/>
      <c r="G61" s="226">
        <f>G62</f>
        <v>20294.4</v>
      </c>
      <c r="H61" s="150">
        <f>H62</f>
        <v>2925</v>
      </c>
      <c r="I61" s="86"/>
    </row>
    <row r="62" spans="1:9" s="48" customFormat="1" ht="15.75">
      <c r="A62" s="190" t="s">
        <v>472</v>
      </c>
      <c r="B62" s="152" t="s">
        <v>191</v>
      </c>
      <c r="C62" s="151" t="s">
        <v>187</v>
      </c>
      <c r="D62" s="152" t="s">
        <v>52</v>
      </c>
      <c r="E62" s="151"/>
      <c r="F62" s="152"/>
      <c r="G62" s="180">
        <f>G63+G65+G67+G72+G75</f>
        <v>20294.4</v>
      </c>
      <c r="H62" s="154">
        <f>H63+H65+H67+H72+H75</f>
        <v>2925</v>
      </c>
      <c r="I62" s="86"/>
    </row>
    <row r="63" spans="1:9" s="48" customFormat="1" ht="60">
      <c r="A63" s="355" t="s">
        <v>153</v>
      </c>
      <c r="B63" s="152" t="s">
        <v>191</v>
      </c>
      <c r="C63" s="151" t="s">
        <v>187</v>
      </c>
      <c r="D63" s="152" t="s">
        <v>152</v>
      </c>
      <c r="E63" s="151"/>
      <c r="F63" s="152"/>
      <c r="G63" s="180">
        <f>G64</f>
        <v>2776.4</v>
      </c>
      <c r="H63" s="154">
        <f>H64</f>
        <v>2355</v>
      </c>
      <c r="I63" s="86"/>
    </row>
    <row r="64" spans="1:9" s="48" customFormat="1" ht="30" customHeight="1">
      <c r="A64" s="355" t="s">
        <v>154</v>
      </c>
      <c r="B64" s="152" t="s">
        <v>191</v>
      </c>
      <c r="C64" s="151" t="s">
        <v>187</v>
      </c>
      <c r="D64" s="152" t="s">
        <v>152</v>
      </c>
      <c r="E64" s="151" t="s">
        <v>129</v>
      </c>
      <c r="F64" s="152"/>
      <c r="G64" s="180">
        <f>'Прилож №3'!H477</f>
        <v>2776.4</v>
      </c>
      <c r="H64" s="154">
        <f>'Прилож №3'!I477</f>
        <v>2355</v>
      </c>
      <c r="I64" s="86"/>
    </row>
    <row r="65" spans="1:9" s="48" customFormat="1" ht="15.75">
      <c r="A65" s="190" t="s">
        <v>155</v>
      </c>
      <c r="B65" s="152" t="s">
        <v>191</v>
      </c>
      <c r="C65" s="151" t="s">
        <v>187</v>
      </c>
      <c r="D65" s="152" t="s">
        <v>156</v>
      </c>
      <c r="E65" s="151"/>
      <c r="F65" s="152"/>
      <c r="G65" s="180">
        <f>G66</f>
        <v>11427.6</v>
      </c>
      <c r="H65" s="154">
        <f>H66</f>
        <v>0</v>
      </c>
      <c r="I65" s="86"/>
    </row>
    <row r="66" spans="1:9" s="48" customFormat="1" ht="30" customHeight="1">
      <c r="A66" s="355" t="s">
        <v>154</v>
      </c>
      <c r="B66" s="152" t="s">
        <v>191</v>
      </c>
      <c r="C66" s="151" t="s">
        <v>187</v>
      </c>
      <c r="D66" s="152" t="s">
        <v>157</v>
      </c>
      <c r="E66" s="151" t="s">
        <v>129</v>
      </c>
      <c r="F66" s="152"/>
      <c r="G66" s="180">
        <f>'Прилож №3'!H479</f>
        <v>11427.6</v>
      </c>
      <c r="H66" s="154">
        <f>'Прилож №3'!I479</f>
        <v>0</v>
      </c>
      <c r="I66" s="86"/>
    </row>
    <row r="67" spans="1:9" s="48" customFormat="1" ht="30">
      <c r="A67" s="355" t="s">
        <v>158</v>
      </c>
      <c r="B67" s="152" t="s">
        <v>191</v>
      </c>
      <c r="C67" s="151" t="s">
        <v>187</v>
      </c>
      <c r="D67" s="152" t="s">
        <v>159</v>
      </c>
      <c r="E67" s="151"/>
      <c r="F67" s="152"/>
      <c r="G67" s="180">
        <f>G68+G70</f>
        <v>5735.4</v>
      </c>
      <c r="H67" s="154">
        <f>H68+H70</f>
        <v>570</v>
      </c>
      <c r="I67" s="86"/>
    </row>
    <row r="68" spans="1:9" s="48" customFormat="1" ht="15.75">
      <c r="A68" s="190" t="s">
        <v>160</v>
      </c>
      <c r="B68" s="152" t="s">
        <v>191</v>
      </c>
      <c r="C68" s="151" t="s">
        <v>187</v>
      </c>
      <c r="D68" s="152" t="s">
        <v>161</v>
      </c>
      <c r="E68" s="151"/>
      <c r="F68" s="152"/>
      <c r="G68" s="180">
        <f>G69</f>
        <v>628</v>
      </c>
      <c r="H68" s="154">
        <f>H69</f>
        <v>0</v>
      </c>
      <c r="I68" s="86"/>
    </row>
    <row r="69" spans="1:9" s="48" customFormat="1" ht="32.25" customHeight="1">
      <c r="A69" s="355" t="s">
        <v>154</v>
      </c>
      <c r="B69" s="152" t="s">
        <v>191</v>
      </c>
      <c r="C69" s="151" t="s">
        <v>187</v>
      </c>
      <c r="D69" s="152" t="s">
        <v>161</v>
      </c>
      <c r="E69" s="151" t="s">
        <v>129</v>
      </c>
      <c r="F69" s="152"/>
      <c r="G69" s="180">
        <f>'Прилож №3'!H482</f>
        <v>628</v>
      </c>
      <c r="H69" s="154">
        <f>'Прилож №3'!I482</f>
        <v>0</v>
      </c>
      <c r="I69" s="86"/>
    </row>
    <row r="70" spans="1:9" s="48" customFormat="1" ht="30">
      <c r="A70" s="355" t="s">
        <v>163</v>
      </c>
      <c r="B70" s="152" t="s">
        <v>191</v>
      </c>
      <c r="C70" s="151" t="s">
        <v>187</v>
      </c>
      <c r="D70" s="152" t="s">
        <v>162</v>
      </c>
      <c r="E70" s="151"/>
      <c r="F70" s="152"/>
      <c r="G70" s="180">
        <f>G71</f>
        <v>5107.4</v>
      </c>
      <c r="H70" s="154">
        <f>H71</f>
        <v>570</v>
      </c>
      <c r="I70" s="86"/>
    </row>
    <row r="71" spans="1:9" s="48" customFormat="1" ht="31.5" customHeight="1">
      <c r="A71" s="355" t="s">
        <v>154</v>
      </c>
      <c r="B71" s="152" t="s">
        <v>191</v>
      </c>
      <c r="C71" s="151" t="s">
        <v>187</v>
      </c>
      <c r="D71" s="152" t="s">
        <v>162</v>
      </c>
      <c r="E71" s="151" t="s">
        <v>129</v>
      </c>
      <c r="F71" s="152"/>
      <c r="G71" s="180">
        <f>'Прилож №3'!H484</f>
        <v>5107.4</v>
      </c>
      <c r="H71" s="154">
        <f>'Прилож №3'!I484</f>
        <v>570</v>
      </c>
      <c r="I71" s="86"/>
    </row>
    <row r="72" spans="1:9" s="48" customFormat="1" ht="15.75">
      <c r="A72" s="190" t="s">
        <v>53</v>
      </c>
      <c r="B72" s="152" t="s">
        <v>191</v>
      </c>
      <c r="C72" s="151" t="s">
        <v>187</v>
      </c>
      <c r="D72" s="152" t="s">
        <v>164</v>
      </c>
      <c r="E72" s="151"/>
      <c r="F72" s="152"/>
      <c r="G72" s="180">
        <f>G73</f>
        <v>250</v>
      </c>
      <c r="H72" s="154">
        <f>H73</f>
        <v>0</v>
      </c>
      <c r="I72" s="86"/>
    </row>
    <row r="73" spans="1:9" s="48" customFormat="1" ht="15.75">
      <c r="A73" s="190" t="s">
        <v>165</v>
      </c>
      <c r="B73" s="152" t="s">
        <v>191</v>
      </c>
      <c r="C73" s="151" t="s">
        <v>187</v>
      </c>
      <c r="D73" s="152" t="s">
        <v>166</v>
      </c>
      <c r="E73" s="151"/>
      <c r="F73" s="152"/>
      <c r="G73" s="180">
        <f>G74</f>
        <v>250</v>
      </c>
      <c r="H73" s="154">
        <f>H74</f>
        <v>0</v>
      </c>
      <c r="I73" s="86"/>
    </row>
    <row r="74" spans="1:9" s="48" customFormat="1" ht="31.5" customHeight="1">
      <c r="A74" s="355" t="s">
        <v>154</v>
      </c>
      <c r="B74" s="152" t="s">
        <v>191</v>
      </c>
      <c r="C74" s="151" t="s">
        <v>187</v>
      </c>
      <c r="D74" s="152" t="s">
        <v>166</v>
      </c>
      <c r="E74" s="151" t="s">
        <v>129</v>
      </c>
      <c r="F74" s="152"/>
      <c r="G74" s="180">
        <f>'Прилож №3'!H487</f>
        <v>250</v>
      </c>
      <c r="H74" s="154">
        <f>'Прилож №3'!I487</f>
        <v>0</v>
      </c>
      <c r="I74" s="118"/>
    </row>
    <row r="75" spans="1:9" s="48" customFormat="1" ht="30">
      <c r="A75" s="355" t="s">
        <v>106</v>
      </c>
      <c r="B75" s="152" t="s">
        <v>191</v>
      </c>
      <c r="C75" s="151" t="s">
        <v>187</v>
      </c>
      <c r="D75" s="152" t="s">
        <v>167</v>
      </c>
      <c r="E75" s="151"/>
      <c r="F75" s="152"/>
      <c r="G75" s="180">
        <f>G76</f>
        <v>105</v>
      </c>
      <c r="H75" s="154">
        <f>H76</f>
        <v>0</v>
      </c>
      <c r="I75" s="86"/>
    </row>
    <row r="76" spans="1:9" s="48" customFormat="1" ht="15.75">
      <c r="A76" s="363" t="s">
        <v>168</v>
      </c>
      <c r="B76" s="161" t="s">
        <v>191</v>
      </c>
      <c r="C76" s="160" t="s">
        <v>187</v>
      </c>
      <c r="D76" s="161" t="s">
        <v>167</v>
      </c>
      <c r="E76" s="160" t="s">
        <v>51</v>
      </c>
      <c r="F76" s="161"/>
      <c r="G76" s="181">
        <f>'Прилож №3'!H489</f>
        <v>105</v>
      </c>
      <c r="H76" s="162">
        <f>'Прилож №3'!I489</f>
        <v>0</v>
      </c>
      <c r="I76" s="86"/>
    </row>
    <row r="77" spans="1:9" s="48" customFormat="1" ht="27.75" customHeight="1">
      <c r="A77" s="360" t="s">
        <v>169</v>
      </c>
      <c r="B77" s="156" t="s">
        <v>191</v>
      </c>
      <c r="C77" s="155" t="s">
        <v>192</v>
      </c>
      <c r="D77" s="156"/>
      <c r="E77" s="155"/>
      <c r="F77" s="157"/>
      <c r="G77" s="201">
        <f>G81+G78</f>
        <v>3653.2</v>
      </c>
      <c r="H77" s="158">
        <f>H81+H78</f>
        <v>0</v>
      </c>
      <c r="I77" s="86"/>
    </row>
    <row r="78" spans="1:9" s="48" customFormat="1" ht="27" customHeight="1">
      <c r="A78" s="369" t="s">
        <v>139</v>
      </c>
      <c r="B78" s="172" t="s">
        <v>191</v>
      </c>
      <c r="C78" s="171" t="s">
        <v>192</v>
      </c>
      <c r="D78" s="172" t="s">
        <v>140</v>
      </c>
      <c r="E78" s="171"/>
      <c r="F78" s="172"/>
      <c r="G78" s="184">
        <f>G79</f>
        <v>2245.2</v>
      </c>
      <c r="H78" s="173">
        <f>H79</f>
        <v>0</v>
      </c>
      <c r="I78" s="86"/>
    </row>
    <row r="79" spans="1:9" s="48" customFormat="1" ht="27" customHeight="1">
      <c r="A79" s="369" t="s">
        <v>141</v>
      </c>
      <c r="B79" s="172" t="s">
        <v>191</v>
      </c>
      <c r="C79" s="171" t="s">
        <v>192</v>
      </c>
      <c r="D79" s="172" t="s">
        <v>170</v>
      </c>
      <c r="E79" s="171"/>
      <c r="F79" s="172"/>
      <c r="G79" s="184">
        <f>G80</f>
        <v>2245.2</v>
      </c>
      <c r="H79" s="173">
        <f>H80</f>
        <v>0</v>
      </c>
      <c r="I79" s="86"/>
    </row>
    <row r="80" spans="1:9" s="48" customFormat="1" ht="18" customHeight="1">
      <c r="A80" s="369" t="s">
        <v>148</v>
      </c>
      <c r="B80" s="152" t="s">
        <v>191</v>
      </c>
      <c r="C80" s="151" t="s">
        <v>192</v>
      </c>
      <c r="D80" s="152" t="s">
        <v>170</v>
      </c>
      <c r="E80" s="151" t="s">
        <v>128</v>
      </c>
      <c r="F80" s="152"/>
      <c r="G80" s="180">
        <f>'Прилож №3'!H51</f>
        <v>2245.2</v>
      </c>
      <c r="H80" s="154">
        <f>'Прилож №3'!I51</f>
        <v>0</v>
      </c>
      <c r="I80" s="86"/>
    </row>
    <row r="81" spans="1:9" s="48" customFormat="1" ht="15.75">
      <c r="A81" s="190" t="s">
        <v>21</v>
      </c>
      <c r="B81" s="152" t="s">
        <v>191</v>
      </c>
      <c r="C81" s="151" t="s">
        <v>192</v>
      </c>
      <c r="D81" s="152" t="s">
        <v>22</v>
      </c>
      <c r="E81" s="151"/>
      <c r="F81" s="152"/>
      <c r="G81" s="180">
        <f>G82</f>
        <v>1408</v>
      </c>
      <c r="H81" s="154">
        <f>H82</f>
        <v>0</v>
      </c>
      <c r="I81" s="86"/>
    </row>
    <row r="82" spans="1:9" s="48" customFormat="1" ht="30">
      <c r="A82" s="355" t="s">
        <v>118</v>
      </c>
      <c r="B82" s="161" t="s">
        <v>191</v>
      </c>
      <c r="C82" s="151" t="s">
        <v>192</v>
      </c>
      <c r="D82" s="152" t="s">
        <v>171</v>
      </c>
      <c r="E82" s="151"/>
      <c r="F82" s="152" t="s">
        <v>4</v>
      </c>
      <c r="G82" s="180">
        <f>G83</f>
        <v>1408</v>
      </c>
      <c r="H82" s="154">
        <f>H83</f>
        <v>0</v>
      </c>
      <c r="I82" s="86"/>
    </row>
    <row r="83" spans="1:9" s="48" customFormat="1" ht="15.75">
      <c r="A83" s="355" t="s">
        <v>172</v>
      </c>
      <c r="B83" s="161" t="s">
        <v>191</v>
      </c>
      <c r="C83" s="151" t="s">
        <v>192</v>
      </c>
      <c r="D83" s="152" t="s">
        <v>171</v>
      </c>
      <c r="E83" s="151" t="s">
        <v>86</v>
      </c>
      <c r="F83" s="152"/>
      <c r="G83" s="180">
        <f>'Прилож №3'!H54</f>
        <v>1408</v>
      </c>
      <c r="H83" s="154">
        <f>'Прилож №3'!I54</f>
        <v>0</v>
      </c>
      <c r="I83" s="86"/>
    </row>
    <row r="84" spans="1:9" s="48" customFormat="1" ht="29.25">
      <c r="A84" s="360" t="s">
        <v>107</v>
      </c>
      <c r="B84" s="156" t="s">
        <v>191</v>
      </c>
      <c r="C84" s="155" t="s">
        <v>190</v>
      </c>
      <c r="D84" s="156"/>
      <c r="E84" s="155"/>
      <c r="F84" s="156"/>
      <c r="G84" s="180">
        <f>G85+G89</f>
        <v>3693</v>
      </c>
      <c r="H84" s="154">
        <f>H85+H89</f>
        <v>64</v>
      </c>
      <c r="I84" s="86"/>
    </row>
    <row r="85" spans="1:9" s="48" customFormat="1" ht="30.75" customHeight="1">
      <c r="A85" s="370" t="s">
        <v>173</v>
      </c>
      <c r="B85" s="161" t="s">
        <v>191</v>
      </c>
      <c r="C85" s="151" t="s">
        <v>190</v>
      </c>
      <c r="D85" s="152" t="s">
        <v>84</v>
      </c>
      <c r="E85" s="151"/>
      <c r="F85" s="152"/>
      <c r="G85" s="180">
        <f>G86</f>
        <v>253</v>
      </c>
      <c r="H85" s="154">
        <f>H86</f>
        <v>64</v>
      </c>
      <c r="I85" s="86"/>
    </row>
    <row r="86" spans="1:9" s="48" customFormat="1" ht="14.25" customHeight="1">
      <c r="A86" s="363" t="s">
        <v>27</v>
      </c>
      <c r="B86" s="161" t="s">
        <v>191</v>
      </c>
      <c r="C86" s="160" t="s">
        <v>190</v>
      </c>
      <c r="D86" s="161" t="s">
        <v>174</v>
      </c>
      <c r="E86" s="160"/>
      <c r="F86" s="161"/>
      <c r="G86" s="181">
        <f>G87+G88</f>
        <v>253</v>
      </c>
      <c r="H86" s="162">
        <f>H87+H88</f>
        <v>64</v>
      </c>
      <c r="I86" s="86"/>
    </row>
    <row r="87" spans="1:9" s="48" customFormat="1" ht="19.5" customHeight="1">
      <c r="A87" s="190" t="s">
        <v>146</v>
      </c>
      <c r="B87" s="161" t="s">
        <v>191</v>
      </c>
      <c r="C87" s="160" t="s">
        <v>190</v>
      </c>
      <c r="D87" s="161" t="s">
        <v>174</v>
      </c>
      <c r="E87" s="160" t="s">
        <v>278</v>
      </c>
      <c r="F87" s="161"/>
      <c r="G87" s="181">
        <f>'Прилож №3'!H58</f>
        <v>189</v>
      </c>
      <c r="H87" s="162">
        <f>'Прилож №3'!I58</f>
        <v>0</v>
      </c>
      <c r="I87" s="118"/>
    </row>
    <row r="88" spans="1:9" s="48" customFormat="1" ht="14.25" customHeight="1">
      <c r="A88" s="355" t="s">
        <v>172</v>
      </c>
      <c r="B88" s="161" t="s">
        <v>191</v>
      </c>
      <c r="C88" s="160" t="s">
        <v>190</v>
      </c>
      <c r="D88" s="161" t="s">
        <v>174</v>
      </c>
      <c r="E88" s="160" t="s">
        <v>86</v>
      </c>
      <c r="F88" s="161"/>
      <c r="G88" s="185">
        <f>'Прилож №3'!H255</f>
        <v>64</v>
      </c>
      <c r="H88" s="162">
        <f>'Прилож №3'!I255</f>
        <v>64</v>
      </c>
      <c r="I88" s="118"/>
    </row>
    <row r="89" spans="1:9" s="48" customFormat="1" ht="13.5" customHeight="1">
      <c r="A89" s="190" t="s">
        <v>131</v>
      </c>
      <c r="B89" s="152" t="s">
        <v>191</v>
      </c>
      <c r="C89" s="151" t="s">
        <v>190</v>
      </c>
      <c r="D89" s="152" t="s">
        <v>132</v>
      </c>
      <c r="E89" s="151"/>
      <c r="F89" s="153"/>
      <c r="G89" s="176">
        <f>G90+G92</f>
        <v>3440</v>
      </c>
      <c r="H89" s="154">
        <f>H90</f>
        <v>0</v>
      </c>
      <c r="I89" s="118"/>
    </row>
    <row r="90" spans="1:9" s="48" customFormat="1" ht="42" customHeight="1">
      <c r="A90" s="291" t="s">
        <v>370</v>
      </c>
      <c r="B90" s="152" t="s">
        <v>191</v>
      </c>
      <c r="C90" s="151" t="s">
        <v>190</v>
      </c>
      <c r="D90" s="152" t="s">
        <v>263</v>
      </c>
      <c r="E90" s="151"/>
      <c r="F90" s="153"/>
      <c r="G90" s="176">
        <f>G91</f>
        <v>3440</v>
      </c>
      <c r="H90" s="154">
        <f>H91</f>
        <v>0</v>
      </c>
      <c r="I90" s="118"/>
    </row>
    <row r="91" spans="1:9" s="48" customFormat="1" ht="15" customHeight="1">
      <c r="A91" s="190" t="s">
        <v>146</v>
      </c>
      <c r="B91" s="152" t="s">
        <v>191</v>
      </c>
      <c r="C91" s="151" t="s">
        <v>190</v>
      </c>
      <c r="D91" s="152" t="s">
        <v>263</v>
      </c>
      <c r="E91" s="151" t="s">
        <v>278</v>
      </c>
      <c r="F91" s="153"/>
      <c r="G91" s="176">
        <f>'Прилож №3'!H61</f>
        <v>3440</v>
      </c>
      <c r="H91" s="154">
        <f>'Прилож №3'!I61</f>
        <v>0</v>
      </c>
      <c r="I91" s="118"/>
    </row>
    <row r="92" spans="1:9" s="48" customFormat="1" ht="43.5" customHeight="1">
      <c r="A92" s="291" t="s">
        <v>289</v>
      </c>
      <c r="B92" s="152" t="s">
        <v>191</v>
      </c>
      <c r="C92" s="151" t="s">
        <v>190</v>
      </c>
      <c r="D92" s="152" t="s">
        <v>288</v>
      </c>
      <c r="E92" s="151"/>
      <c r="F92" s="153"/>
      <c r="G92" s="176">
        <f>G93</f>
        <v>0</v>
      </c>
      <c r="H92" s="154"/>
      <c r="I92" s="118"/>
    </row>
    <row r="93" spans="1:9" s="48" customFormat="1" ht="15" customHeight="1" thickBot="1">
      <c r="A93" s="325" t="s">
        <v>146</v>
      </c>
      <c r="B93" s="152" t="s">
        <v>191</v>
      </c>
      <c r="C93" s="151" t="s">
        <v>190</v>
      </c>
      <c r="D93" s="152" t="s">
        <v>288</v>
      </c>
      <c r="E93" s="151" t="s">
        <v>278</v>
      </c>
      <c r="F93" s="153"/>
      <c r="G93" s="176">
        <f>'Прилож №3'!H63</f>
        <v>0</v>
      </c>
      <c r="H93" s="154"/>
      <c r="I93" s="118"/>
    </row>
    <row r="94" spans="1:9" s="48" customFormat="1" ht="16.5" thickBot="1">
      <c r="A94" s="371" t="s">
        <v>65</v>
      </c>
      <c r="B94" s="164" t="s">
        <v>188</v>
      </c>
      <c r="C94" s="163" t="s">
        <v>126</v>
      </c>
      <c r="D94" s="164"/>
      <c r="E94" s="163"/>
      <c r="F94" s="182"/>
      <c r="G94" s="175">
        <f>G95+G100+G108</f>
        <v>28974.699999999997</v>
      </c>
      <c r="H94" s="165">
        <f>H95+H100+H108</f>
        <v>2564</v>
      </c>
      <c r="I94" s="86"/>
    </row>
    <row r="95" spans="1:9" s="3" customFormat="1" ht="15.75" customHeight="1">
      <c r="A95" s="362" t="s">
        <v>98</v>
      </c>
      <c r="B95" s="156" t="s">
        <v>188</v>
      </c>
      <c r="C95" s="155" t="s">
        <v>195</v>
      </c>
      <c r="D95" s="156"/>
      <c r="E95" s="155"/>
      <c r="F95" s="157"/>
      <c r="G95" s="201">
        <f>G96</f>
        <v>19496</v>
      </c>
      <c r="H95" s="158">
        <f>H96</f>
        <v>0</v>
      </c>
      <c r="I95" s="119"/>
    </row>
    <row r="96" spans="1:9" s="2" customFormat="1" ht="15.75" customHeight="1">
      <c r="A96" s="190" t="s">
        <v>175</v>
      </c>
      <c r="B96" s="152" t="s">
        <v>188</v>
      </c>
      <c r="C96" s="151" t="s">
        <v>195</v>
      </c>
      <c r="D96" s="152" t="s">
        <v>176</v>
      </c>
      <c r="E96" s="151"/>
      <c r="F96" s="153"/>
      <c r="G96" s="176">
        <f aca="true" t="shared" si="4" ref="G96:H98">G97</f>
        <v>19496</v>
      </c>
      <c r="H96" s="154">
        <f t="shared" si="4"/>
        <v>0</v>
      </c>
      <c r="I96" s="86"/>
    </row>
    <row r="97" spans="1:9" s="2" customFormat="1" ht="15.75" customHeight="1">
      <c r="A97" s="190" t="s">
        <v>177</v>
      </c>
      <c r="B97" s="152" t="s">
        <v>188</v>
      </c>
      <c r="C97" s="151" t="s">
        <v>195</v>
      </c>
      <c r="D97" s="152" t="s">
        <v>178</v>
      </c>
      <c r="E97" s="151"/>
      <c r="F97" s="153"/>
      <c r="G97" s="176">
        <f t="shared" si="4"/>
        <v>19496</v>
      </c>
      <c r="H97" s="154">
        <f t="shared" si="4"/>
        <v>0</v>
      </c>
      <c r="I97" s="86"/>
    </row>
    <row r="98" spans="1:9" s="2" customFormat="1" ht="40.5" customHeight="1">
      <c r="A98" s="355" t="s">
        <v>473</v>
      </c>
      <c r="B98" s="152" t="s">
        <v>188</v>
      </c>
      <c r="C98" s="151" t="s">
        <v>195</v>
      </c>
      <c r="D98" s="152" t="s">
        <v>180</v>
      </c>
      <c r="E98" s="151"/>
      <c r="F98" s="153"/>
      <c r="G98" s="176">
        <f t="shared" si="4"/>
        <v>19496</v>
      </c>
      <c r="H98" s="154">
        <f t="shared" si="4"/>
        <v>0</v>
      </c>
      <c r="I98" s="86"/>
    </row>
    <row r="99" spans="1:9" s="2" customFormat="1" ht="15.75" customHeight="1">
      <c r="A99" s="357" t="s">
        <v>181</v>
      </c>
      <c r="B99" s="152" t="s">
        <v>188</v>
      </c>
      <c r="C99" s="151" t="s">
        <v>195</v>
      </c>
      <c r="D99" s="152" t="s">
        <v>180</v>
      </c>
      <c r="E99" s="151" t="s">
        <v>87</v>
      </c>
      <c r="F99" s="153"/>
      <c r="G99" s="176">
        <f>'Прилож №3'!H69</f>
        <v>19496</v>
      </c>
      <c r="H99" s="154">
        <f>'Прилож №3'!I69</f>
        <v>0</v>
      </c>
      <c r="I99" s="86"/>
    </row>
    <row r="100" spans="1:9" s="3" customFormat="1" ht="15.75" customHeight="1">
      <c r="A100" s="368" t="s">
        <v>99</v>
      </c>
      <c r="B100" s="156" t="s">
        <v>188</v>
      </c>
      <c r="C100" s="155" t="s">
        <v>192</v>
      </c>
      <c r="D100" s="156"/>
      <c r="E100" s="155"/>
      <c r="F100" s="156"/>
      <c r="G100" s="177">
        <f>G101</f>
        <v>3753.1000000000004</v>
      </c>
      <c r="H100" s="158">
        <f>H101</f>
        <v>2564</v>
      </c>
      <c r="I100" s="86"/>
    </row>
    <row r="101" spans="1:9" s="2" customFormat="1" ht="15.75" customHeight="1">
      <c r="A101" s="357" t="s">
        <v>99</v>
      </c>
      <c r="B101" s="152" t="s">
        <v>188</v>
      </c>
      <c r="C101" s="151" t="s">
        <v>192</v>
      </c>
      <c r="D101" s="152" t="s">
        <v>196</v>
      </c>
      <c r="E101" s="151"/>
      <c r="F101" s="152"/>
      <c r="G101" s="178">
        <f>G105+G102</f>
        <v>3753.1000000000004</v>
      </c>
      <c r="H101" s="154">
        <f>H105+H102</f>
        <v>2564</v>
      </c>
      <c r="I101" s="86"/>
    </row>
    <row r="102" spans="1:9" s="2" customFormat="1" ht="15.75" customHeight="1">
      <c r="A102" s="325" t="s">
        <v>440</v>
      </c>
      <c r="B102" s="152" t="s">
        <v>188</v>
      </c>
      <c r="C102" s="151" t="s">
        <v>192</v>
      </c>
      <c r="D102" s="152" t="s">
        <v>441</v>
      </c>
      <c r="E102" s="151"/>
      <c r="F102" s="152"/>
      <c r="G102" s="178">
        <f>G103</f>
        <v>2564</v>
      </c>
      <c r="H102" s="154">
        <f>H103</f>
        <v>2564</v>
      </c>
      <c r="I102" s="86"/>
    </row>
    <row r="103" spans="1:9" s="2" customFormat="1" ht="15.75" customHeight="1">
      <c r="A103" s="325" t="s">
        <v>442</v>
      </c>
      <c r="B103" s="152" t="s">
        <v>188</v>
      </c>
      <c r="C103" s="151" t="s">
        <v>192</v>
      </c>
      <c r="D103" s="152" t="s">
        <v>443</v>
      </c>
      <c r="E103" s="151"/>
      <c r="F103" s="152"/>
      <c r="G103" s="178">
        <f>G104</f>
        <v>2564</v>
      </c>
      <c r="H103" s="154">
        <f>H104</f>
        <v>2564</v>
      </c>
      <c r="I103" s="86"/>
    </row>
    <row r="104" spans="1:9" s="2" customFormat="1" ht="15.75" customHeight="1">
      <c r="A104" s="325" t="s">
        <v>444</v>
      </c>
      <c r="B104" s="152" t="s">
        <v>188</v>
      </c>
      <c r="C104" s="151" t="s">
        <v>192</v>
      </c>
      <c r="D104" s="152" t="s">
        <v>443</v>
      </c>
      <c r="E104" s="151" t="s">
        <v>445</v>
      </c>
      <c r="F104" s="152"/>
      <c r="G104" s="178">
        <f>'Прилож №3'!H74</f>
        <v>2564</v>
      </c>
      <c r="H104" s="154">
        <f>'Прилож №3'!I74</f>
        <v>2564</v>
      </c>
      <c r="I104" s="86"/>
    </row>
    <row r="105" spans="1:9" s="2" customFormat="1" ht="15.75" customHeight="1">
      <c r="A105" s="357" t="s">
        <v>197</v>
      </c>
      <c r="B105" s="152" t="s">
        <v>188</v>
      </c>
      <c r="C105" s="151" t="s">
        <v>192</v>
      </c>
      <c r="D105" s="152" t="s">
        <v>198</v>
      </c>
      <c r="E105" s="151"/>
      <c r="F105" s="152"/>
      <c r="G105" s="178">
        <f>G106</f>
        <v>1189.1000000000004</v>
      </c>
      <c r="H105" s="154">
        <f>H107</f>
        <v>0</v>
      </c>
      <c r="I105" s="86"/>
    </row>
    <row r="106" spans="1:9" s="2" customFormat="1" ht="15.75" customHeight="1">
      <c r="A106" s="357" t="s">
        <v>317</v>
      </c>
      <c r="B106" s="152" t="s">
        <v>188</v>
      </c>
      <c r="C106" s="151" t="s">
        <v>192</v>
      </c>
      <c r="D106" s="152" t="s">
        <v>320</v>
      </c>
      <c r="E106" s="151"/>
      <c r="F106" s="152"/>
      <c r="G106" s="178">
        <f>G107</f>
        <v>1189.1000000000004</v>
      </c>
      <c r="H106" s="154"/>
      <c r="I106" s="86"/>
    </row>
    <row r="107" spans="1:9" s="2" customFormat="1" ht="15.75" customHeight="1">
      <c r="A107" s="357" t="s">
        <v>319</v>
      </c>
      <c r="B107" s="152" t="s">
        <v>188</v>
      </c>
      <c r="C107" s="151" t="s">
        <v>192</v>
      </c>
      <c r="D107" s="152" t="s">
        <v>318</v>
      </c>
      <c r="E107" s="151" t="s">
        <v>127</v>
      </c>
      <c r="F107" s="152"/>
      <c r="G107" s="178">
        <f>'Прилож №3'!H77</f>
        <v>1189.1000000000004</v>
      </c>
      <c r="H107" s="154">
        <f>'Прилож №3'!I77</f>
        <v>0</v>
      </c>
      <c r="I107" s="86"/>
    </row>
    <row r="108" spans="1:9" s="23" customFormat="1" ht="15.75">
      <c r="A108" s="368" t="s">
        <v>66</v>
      </c>
      <c r="B108" s="156" t="s">
        <v>188</v>
      </c>
      <c r="C108" s="155" t="s">
        <v>189</v>
      </c>
      <c r="D108" s="156"/>
      <c r="E108" s="155"/>
      <c r="F108" s="156"/>
      <c r="G108" s="179">
        <f>G111+G114+G109</f>
        <v>5725.6</v>
      </c>
      <c r="H108" s="158">
        <f>H111+H114</f>
        <v>0</v>
      </c>
      <c r="I108" s="86"/>
    </row>
    <row r="109" spans="1:9" s="23" customFormat="1" ht="15.75">
      <c r="A109" s="372" t="s">
        <v>426</v>
      </c>
      <c r="B109" s="152" t="s">
        <v>188</v>
      </c>
      <c r="C109" s="151" t="s">
        <v>189</v>
      </c>
      <c r="D109" s="152" t="s">
        <v>427</v>
      </c>
      <c r="E109" s="151"/>
      <c r="F109" s="152"/>
      <c r="G109" s="180">
        <f>G110</f>
        <v>4341.3</v>
      </c>
      <c r="H109" s="154"/>
      <c r="I109" s="86"/>
    </row>
    <row r="110" spans="1:9" s="23" customFormat="1" ht="15.75">
      <c r="A110" s="325" t="s">
        <v>146</v>
      </c>
      <c r="B110" s="152" t="s">
        <v>188</v>
      </c>
      <c r="C110" s="151" t="s">
        <v>189</v>
      </c>
      <c r="D110" s="152" t="s">
        <v>427</v>
      </c>
      <c r="E110" s="151" t="s">
        <v>278</v>
      </c>
      <c r="F110" s="152"/>
      <c r="G110" s="180">
        <f>'Прилож №3'!H80</f>
        <v>4341.3</v>
      </c>
      <c r="H110" s="154"/>
      <c r="I110" s="86"/>
    </row>
    <row r="111" spans="1:9" s="48" customFormat="1" ht="30">
      <c r="A111" s="355" t="s">
        <v>109</v>
      </c>
      <c r="B111" s="152" t="s">
        <v>188</v>
      </c>
      <c r="C111" s="151" t="s">
        <v>189</v>
      </c>
      <c r="D111" s="152" t="s">
        <v>76</v>
      </c>
      <c r="E111" s="151"/>
      <c r="F111" s="152"/>
      <c r="G111" s="180">
        <f>G112</f>
        <v>1022</v>
      </c>
      <c r="H111" s="154">
        <f>H113</f>
        <v>0</v>
      </c>
      <c r="I111" s="86"/>
    </row>
    <row r="112" spans="1:9" s="48" customFormat="1" ht="15.75">
      <c r="A112" s="355" t="s">
        <v>343</v>
      </c>
      <c r="B112" s="152" t="s">
        <v>188</v>
      </c>
      <c r="C112" s="151" t="s">
        <v>189</v>
      </c>
      <c r="D112" s="152" t="s">
        <v>344</v>
      </c>
      <c r="E112" s="160"/>
      <c r="F112" s="161"/>
      <c r="G112" s="181">
        <f>G113</f>
        <v>1022</v>
      </c>
      <c r="H112" s="162"/>
      <c r="I112" s="86"/>
    </row>
    <row r="113" spans="1:9" s="48" customFormat="1" ht="15.75">
      <c r="A113" s="364" t="s">
        <v>146</v>
      </c>
      <c r="B113" s="161" t="s">
        <v>188</v>
      </c>
      <c r="C113" s="160" t="s">
        <v>189</v>
      </c>
      <c r="D113" s="161" t="s">
        <v>344</v>
      </c>
      <c r="E113" s="160" t="s">
        <v>278</v>
      </c>
      <c r="F113" s="161"/>
      <c r="G113" s="181">
        <f>'Прилож №3'!H83</f>
        <v>1022</v>
      </c>
      <c r="H113" s="162">
        <f>'Прилож №3'!I83</f>
        <v>0</v>
      </c>
      <c r="I113" s="86"/>
    </row>
    <row r="114" spans="1:9" s="48" customFormat="1" ht="15.75">
      <c r="A114" s="190" t="s">
        <v>131</v>
      </c>
      <c r="B114" s="152" t="s">
        <v>188</v>
      </c>
      <c r="C114" s="151" t="s">
        <v>189</v>
      </c>
      <c r="D114" s="152" t="s">
        <v>132</v>
      </c>
      <c r="E114" s="151"/>
      <c r="F114" s="153"/>
      <c r="G114" s="176">
        <f>G115</f>
        <v>362.3</v>
      </c>
      <c r="H114" s="154"/>
      <c r="I114" s="86"/>
    </row>
    <row r="115" spans="1:9" s="48" customFormat="1" ht="39">
      <c r="A115" s="356" t="s">
        <v>373</v>
      </c>
      <c r="B115" s="152" t="s">
        <v>188</v>
      </c>
      <c r="C115" s="151" t="s">
        <v>189</v>
      </c>
      <c r="D115" s="152" t="s">
        <v>297</v>
      </c>
      <c r="E115" s="151"/>
      <c r="F115" s="153"/>
      <c r="G115" s="176">
        <f>G116</f>
        <v>362.3</v>
      </c>
      <c r="H115" s="154"/>
      <c r="I115" s="86"/>
    </row>
    <row r="116" spans="1:9" s="48" customFormat="1" ht="15.75">
      <c r="A116" s="190" t="s">
        <v>146</v>
      </c>
      <c r="B116" s="152" t="s">
        <v>188</v>
      </c>
      <c r="C116" s="151" t="s">
        <v>189</v>
      </c>
      <c r="D116" s="152" t="s">
        <v>297</v>
      </c>
      <c r="E116" s="151" t="s">
        <v>278</v>
      </c>
      <c r="F116" s="153"/>
      <c r="G116" s="176">
        <f>'Прилож №3'!H86</f>
        <v>362.3</v>
      </c>
      <c r="H116" s="154"/>
      <c r="I116" s="86"/>
    </row>
    <row r="117" spans="1:9" s="48" customFormat="1" ht="16.5" thickBot="1">
      <c r="A117" s="365" t="s">
        <v>23</v>
      </c>
      <c r="B117" s="204" t="s">
        <v>200</v>
      </c>
      <c r="C117" s="186" t="s">
        <v>126</v>
      </c>
      <c r="D117" s="204"/>
      <c r="E117" s="186"/>
      <c r="F117" s="191"/>
      <c r="G117" s="228">
        <f>G118+G141+G158</f>
        <v>413250.7</v>
      </c>
      <c r="H117" s="183">
        <f>H118+H141+H158</f>
        <v>193393.3</v>
      </c>
      <c r="I117" s="86"/>
    </row>
    <row r="118" spans="1:9" s="48" customFormat="1" ht="15.75">
      <c r="A118" s="373" t="s">
        <v>70</v>
      </c>
      <c r="B118" s="238" t="s">
        <v>200</v>
      </c>
      <c r="C118" s="196" t="s">
        <v>186</v>
      </c>
      <c r="D118" s="238" t="s">
        <v>47</v>
      </c>
      <c r="E118" s="196" t="s">
        <v>49</v>
      </c>
      <c r="F118" s="238"/>
      <c r="G118" s="243">
        <f>G130+G134+G126+G119</f>
        <v>222256.9</v>
      </c>
      <c r="H118" s="314">
        <f>H130+H134+H126+H119</f>
        <v>139220</v>
      </c>
      <c r="I118" s="86"/>
    </row>
    <row r="119" spans="1:9" s="48" customFormat="1" ht="30" customHeight="1">
      <c r="A119" s="355" t="s">
        <v>378</v>
      </c>
      <c r="B119" s="152" t="s">
        <v>200</v>
      </c>
      <c r="C119" s="151" t="s">
        <v>186</v>
      </c>
      <c r="D119" s="152" t="s">
        <v>379</v>
      </c>
      <c r="E119" s="151"/>
      <c r="F119" s="153"/>
      <c r="G119" s="176">
        <f>G120+G123</f>
        <v>56329</v>
      </c>
      <c r="H119" s="154">
        <f>H120+H123</f>
        <v>24965</v>
      </c>
      <c r="I119" s="86"/>
    </row>
    <row r="120" spans="1:9" s="48" customFormat="1" ht="56.25" customHeight="1">
      <c r="A120" s="355" t="s">
        <v>380</v>
      </c>
      <c r="B120" s="152" t="s">
        <v>200</v>
      </c>
      <c r="C120" s="151" t="s">
        <v>186</v>
      </c>
      <c r="D120" s="152" t="s">
        <v>381</v>
      </c>
      <c r="E120" s="151"/>
      <c r="F120" s="153"/>
      <c r="G120" s="176">
        <f>G121</f>
        <v>37382</v>
      </c>
      <c r="H120" s="154">
        <f>H121</f>
        <v>21700</v>
      </c>
      <c r="I120" s="86"/>
    </row>
    <row r="121" spans="1:9" s="48" customFormat="1" ht="30">
      <c r="A121" s="355" t="s">
        <v>382</v>
      </c>
      <c r="B121" s="152" t="s">
        <v>200</v>
      </c>
      <c r="C121" s="151" t="s">
        <v>186</v>
      </c>
      <c r="D121" s="152" t="s">
        <v>383</v>
      </c>
      <c r="E121" s="151"/>
      <c r="F121" s="153"/>
      <c r="G121" s="176">
        <f>G122</f>
        <v>37382</v>
      </c>
      <c r="H121" s="154">
        <f>H122</f>
        <v>21700</v>
      </c>
      <c r="I121" s="86"/>
    </row>
    <row r="122" spans="1:9" s="48" customFormat="1" ht="15.75">
      <c r="A122" s="190" t="s">
        <v>384</v>
      </c>
      <c r="B122" s="152" t="s">
        <v>200</v>
      </c>
      <c r="C122" s="151" t="s">
        <v>186</v>
      </c>
      <c r="D122" s="152" t="s">
        <v>383</v>
      </c>
      <c r="E122" s="151" t="s">
        <v>385</v>
      </c>
      <c r="F122" s="153"/>
      <c r="G122" s="176">
        <f>'Прилож №3'!H92</f>
        <v>37382</v>
      </c>
      <c r="H122" s="154">
        <f>'Прилож №3'!I92</f>
        <v>21700</v>
      </c>
      <c r="I122" s="86"/>
    </row>
    <row r="123" spans="1:9" s="48" customFormat="1" ht="45">
      <c r="A123" s="355" t="s">
        <v>386</v>
      </c>
      <c r="B123" s="152" t="s">
        <v>200</v>
      </c>
      <c r="C123" s="151" t="s">
        <v>186</v>
      </c>
      <c r="D123" s="152" t="s">
        <v>387</v>
      </c>
      <c r="E123" s="151"/>
      <c r="F123" s="153"/>
      <c r="G123" s="176">
        <f>G124</f>
        <v>18947</v>
      </c>
      <c r="H123" s="154">
        <f>H124</f>
        <v>3265</v>
      </c>
      <c r="I123" s="86"/>
    </row>
    <row r="124" spans="1:9" s="48" customFormat="1" ht="30">
      <c r="A124" s="355" t="s">
        <v>388</v>
      </c>
      <c r="B124" s="152" t="s">
        <v>200</v>
      </c>
      <c r="C124" s="151" t="s">
        <v>186</v>
      </c>
      <c r="D124" s="152" t="s">
        <v>389</v>
      </c>
      <c r="E124" s="151"/>
      <c r="F124" s="153"/>
      <c r="G124" s="176">
        <f>G125</f>
        <v>18947</v>
      </c>
      <c r="H124" s="154">
        <f>H125</f>
        <v>3265</v>
      </c>
      <c r="I124" s="86"/>
    </row>
    <row r="125" spans="1:9" s="48" customFormat="1" ht="15.75">
      <c r="A125" s="190" t="s">
        <v>384</v>
      </c>
      <c r="B125" s="152" t="s">
        <v>200</v>
      </c>
      <c r="C125" s="151" t="s">
        <v>186</v>
      </c>
      <c r="D125" s="152" t="s">
        <v>389</v>
      </c>
      <c r="E125" s="151" t="s">
        <v>385</v>
      </c>
      <c r="F125" s="153"/>
      <c r="G125" s="176">
        <f>'Прилож №3'!H95</f>
        <v>18947</v>
      </c>
      <c r="H125" s="154">
        <f>'Прилож №3'!I95</f>
        <v>3265</v>
      </c>
      <c r="I125" s="86"/>
    </row>
    <row r="126" spans="1:9" s="48" customFormat="1" ht="30">
      <c r="A126" s="355" t="s">
        <v>206</v>
      </c>
      <c r="B126" s="152" t="s">
        <v>200</v>
      </c>
      <c r="C126" s="151" t="s">
        <v>186</v>
      </c>
      <c r="D126" s="152" t="s">
        <v>71</v>
      </c>
      <c r="E126" s="151"/>
      <c r="F126" s="157"/>
      <c r="G126" s="249">
        <f>G127</f>
        <v>0</v>
      </c>
      <c r="H126" s="158"/>
      <c r="I126" s="86"/>
    </row>
    <row r="127" spans="1:9" s="48" customFormat="1" ht="60">
      <c r="A127" s="369" t="s">
        <v>474</v>
      </c>
      <c r="B127" s="172" t="s">
        <v>200</v>
      </c>
      <c r="C127" s="171" t="s">
        <v>186</v>
      </c>
      <c r="D127" s="172" t="s">
        <v>208</v>
      </c>
      <c r="E127" s="171"/>
      <c r="F127" s="149"/>
      <c r="G127" s="241">
        <f>G128</f>
        <v>0</v>
      </c>
      <c r="H127" s="188"/>
      <c r="I127" s="86"/>
    </row>
    <row r="128" spans="1:9" s="48" customFormat="1" ht="30">
      <c r="A128" s="369" t="s">
        <v>242</v>
      </c>
      <c r="B128" s="172" t="s">
        <v>200</v>
      </c>
      <c r="C128" s="171" t="s">
        <v>186</v>
      </c>
      <c r="D128" s="172" t="s">
        <v>243</v>
      </c>
      <c r="E128" s="171"/>
      <c r="F128" s="149"/>
      <c r="G128" s="241">
        <f>G129</f>
        <v>0</v>
      </c>
      <c r="H128" s="188"/>
      <c r="I128" s="86"/>
    </row>
    <row r="129" spans="1:9" s="48" customFormat="1" ht="15.75">
      <c r="A129" s="369" t="s">
        <v>209</v>
      </c>
      <c r="B129" s="172" t="s">
        <v>200</v>
      </c>
      <c r="C129" s="171" t="s">
        <v>186</v>
      </c>
      <c r="D129" s="172" t="s">
        <v>243</v>
      </c>
      <c r="E129" s="171" t="s">
        <v>67</v>
      </c>
      <c r="F129" s="149"/>
      <c r="G129" s="241">
        <f>'Прилож №3'!H96</f>
        <v>0</v>
      </c>
      <c r="H129" s="188"/>
      <c r="I129" s="86"/>
    </row>
    <row r="130" spans="1:9" s="48" customFormat="1" ht="15.75">
      <c r="A130" s="190" t="s">
        <v>24</v>
      </c>
      <c r="B130" s="172" t="s">
        <v>200</v>
      </c>
      <c r="C130" s="171" t="s">
        <v>186</v>
      </c>
      <c r="D130" s="172" t="s">
        <v>25</v>
      </c>
      <c r="E130" s="171"/>
      <c r="F130" s="172"/>
      <c r="G130" s="184">
        <f>G131</f>
        <v>165927.9</v>
      </c>
      <c r="H130" s="173">
        <f>H131</f>
        <v>114255</v>
      </c>
      <c r="I130" s="86"/>
    </row>
    <row r="131" spans="1:9" s="48" customFormat="1" ht="15.75">
      <c r="A131" s="357" t="s">
        <v>201</v>
      </c>
      <c r="B131" s="172" t="s">
        <v>200</v>
      </c>
      <c r="C131" s="171" t="s">
        <v>186</v>
      </c>
      <c r="D131" s="172" t="s">
        <v>202</v>
      </c>
      <c r="E131" s="171"/>
      <c r="F131" s="172"/>
      <c r="G131" s="184">
        <f>G132+G133</f>
        <v>165927.9</v>
      </c>
      <c r="H131" s="173">
        <f>H132</f>
        <v>114255</v>
      </c>
      <c r="I131" s="86"/>
    </row>
    <row r="132" spans="1:9" s="48" customFormat="1" ht="15.75">
      <c r="A132" s="190" t="s">
        <v>181</v>
      </c>
      <c r="B132" s="152" t="s">
        <v>200</v>
      </c>
      <c r="C132" s="171" t="s">
        <v>186</v>
      </c>
      <c r="D132" s="172" t="s">
        <v>202</v>
      </c>
      <c r="E132" s="171" t="s">
        <v>87</v>
      </c>
      <c r="F132" s="172"/>
      <c r="G132" s="184">
        <f>'Прилож №3'!H102+'Прилож №3'!H456</f>
        <v>165589.1</v>
      </c>
      <c r="H132" s="173">
        <f>'Прилож №3'!I102</f>
        <v>114255</v>
      </c>
      <c r="I132" s="118"/>
    </row>
    <row r="133" spans="1:9" s="48" customFormat="1" ht="15.75">
      <c r="A133" s="357" t="s">
        <v>146</v>
      </c>
      <c r="B133" s="152" t="s">
        <v>200</v>
      </c>
      <c r="C133" s="171" t="s">
        <v>186</v>
      </c>
      <c r="D133" s="172" t="s">
        <v>202</v>
      </c>
      <c r="E133" s="171" t="s">
        <v>278</v>
      </c>
      <c r="F133" s="172"/>
      <c r="G133" s="184">
        <f>'Прилож №3'!H103</f>
        <v>338.8</v>
      </c>
      <c r="H133" s="173"/>
      <c r="I133" s="118"/>
    </row>
    <row r="134" spans="1:9" s="48" customFormat="1" ht="15.75">
      <c r="A134" s="190" t="s">
        <v>131</v>
      </c>
      <c r="B134" s="152" t="s">
        <v>200</v>
      </c>
      <c r="C134" s="171" t="s">
        <v>186</v>
      </c>
      <c r="D134" s="172" t="s">
        <v>132</v>
      </c>
      <c r="E134" s="171"/>
      <c r="F134" s="172"/>
      <c r="G134" s="184">
        <f>G135+G137+G139</f>
        <v>0</v>
      </c>
      <c r="H134" s="173"/>
      <c r="I134" s="86"/>
    </row>
    <row r="135" spans="1:9" s="48" customFormat="1" ht="30">
      <c r="A135" s="355" t="s">
        <v>266</v>
      </c>
      <c r="B135" s="152" t="s">
        <v>200</v>
      </c>
      <c r="C135" s="171" t="s">
        <v>186</v>
      </c>
      <c r="D135" s="172" t="s">
        <v>265</v>
      </c>
      <c r="E135" s="171"/>
      <c r="F135" s="172"/>
      <c r="G135" s="184">
        <f>G136</f>
        <v>0</v>
      </c>
      <c r="H135" s="173"/>
      <c r="I135" s="86"/>
    </row>
    <row r="136" spans="1:9" s="48" customFormat="1" ht="15.75">
      <c r="A136" s="357" t="s">
        <v>146</v>
      </c>
      <c r="B136" s="152" t="s">
        <v>200</v>
      </c>
      <c r="C136" s="171" t="s">
        <v>186</v>
      </c>
      <c r="D136" s="172" t="s">
        <v>265</v>
      </c>
      <c r="E136" s="171" t="s">
        <v>278</v>
      </c>
      <c r="F136" s="172"/>
      <c r="G136" s="184">
        <f>'Прилож №3'!H106</f>
        <v>0</v>
      </c>
      <c r="H136" s="173"/>
      <c r="I136" s="86"/>
    </row>
    <row r="137" spans="1:9" s="48" customFormat="1" ht="26.25">
      <c r="A137" s="356" t="s">
        <v>375</v>
      </c>
      <c r="B137" s="152" t="s">
        <v>200</v>
      </c>
      <c r="C137" s="171" t="s">
        <v>186</v>
      </c>
      <c r="D137" s="172" t="s">
        <v>350</v>
      </c>
      <c r="E137" s="171"/>
      <c r="F137" s="172"/>
      <c r="G137" s="184">
        <f>G138</f>
        <v>0</v>
      </c>
      <c r="H137" s="173"/>
      <c r="I137" s="86"/>
    </row>
    <row r="138" spans="1:9" s="48" customFormat="1" ht="15.75">
      <c r="A138" s="359" t="s">
        <v>146</v>
      </c>
      <c r="B138" s="152" t="s">
        <v>200</v>
      </c>
      <c r="C138" s="171" t="s">
        <v>186</v>
      </c>
      <c r="D138" s="172" t="s">
        <v>350</v>
      </c>
      <c r="E138" s="171" t="s">
        <v>278</v>
      </c>
      <c r="F138" s="172"/>
      <c r="G138" s="184">
        <f>'Прилож №3'!H108</f>
        <v>0</v>
      </c>
      <c r="H138" s="173"/>
      <c r="I138" s="86"/>
    </row>
    <row r="139" spans="1:9" s="48" customFormat="1" ht="26.25">
      <c r="A139" s="356" t="s">
        <v>351</v>
      </c>
      <c r="B139" s="152" t="s">
        <v>200</v>
      </c>
      <c r="C139" s="171" t="s">
        <v>186</v>
      </c>
      <c r="D139" s="172" t="s">
        <v>352</v>
      </c>
      <c r="E139" s="171"/>
      <c r="F139" s="172"/>
      <c r="G139" s="184">
        <f>G140</f>
        <v>0</v>
      </c>
      <c r="H139" s="173"/>
      <c r="I139" s="86"/>
    </row>
    <row r="140" spans="1:9" s="48" customFormat="1" ht="15.75">
      <c r="A140" s="359" t="s">
        <v>146</v>
      </c>
      <c r="B140" s="152" t="s">
        <v>200</v>
      </c>
      <c r="C140" s="171" t="s">
        <v>186</v>
      </c>
      <c r="D140" s="172" t="s">
        <v>352</v>
      </c>
      <c r="E140" s="171" t="s">
        <v>278</v>
      </c>
      <c r="F140" s="172"/>
      <c r="G140" s="184">
        <f>'Прилож №3'!H110</f>
        <v>0</v>
      </c>
      <c r="H140" s="173"/>
      <c r="I140" s="86"/>
    </row>
    <row r="141" spans="1:9" s="48" customFormat="1" ht="15.75">
      <c r="A141" s="362" t="s">
        <v>3</v>
      </c>
      <c r="B141" s="152" t="s">
        <v>200</v>
      </c>
      <c r="C141" s="151" t="s">
        <v>187</v>
      </c>
      <c r="D141" s="172"/>
      <c r="E141" s="171"/>
      <c r="F141" s="156"/>
      <c r="G141" s="179">
        <f>G146+G142+G153+G150</f>
        <v>127306.59999999999</v>
      </c>
      <c r="H141" s="158">
        <f>H146+H142+H153+H150</f>
        <v>54173.299999999996</v>
      </c>
      <c r="I141" s="86"/>
    </row>
    <row r="142" spans="1:9" s="48" customFormat="1" ht="30">
      <c r="A142" s="369" t="s">
        <v>206</v>
      </c>
      <c r="B142" s="172" t="s">
        <v>200</v>
      </c>
      <c r="C142" s="151" t="s">
        <v>187</v>
      </c>
      <c r="D142" s="172" t="s">
        <v>71</v>
      </c>
      <c r="E142" s="171"/>
      <c r="F142" s="172"/>
      <c r="G142" s="184">
        <f aca="true" t="shared" si="5" ref="G142:H144">G143</f>
        <v>1409.5</v>
      </c>
      <c r="H142" s="173">
        <f t="shared" si="5"/>
        <v>0</v>
      </c>
      <c r="I142" s="86"/>
    </row>
    <row r="143" spans="1:9" s="48" customFormat="1" ht="60">
      <c r="A143" s="369" t="s">
        <v>474</v>
      </c>
      <c r="B143" s="172" t="s">
        <v>200</v>
      </c>
      <c r="C143" s="151" t="s">
        <v>187</v>
      </c>
      <c r="D143" s="172" t="s">
        <v>208</v>
      </c>
      <c r="E143" s="171"/>
      <c r="F143" s="172"/>
      <c r="G143" s="184">
        <f t="shared" si="5"/>
        <v>1409.5</v>
      </c>
      <c r="H143" s="173">
        <f t="shared" si="5"/>
        <v>0</v>
      </c>
      <c r="I143" s="86"/>
    </row>
    <row r="144" spans="1:9" s="48" customFormat="1" ht="30">
      <c r="A144" s="369" t="s">
        <v>242</v>
      </c>
      <c r="B144" s="172" t="s">
        <v>200</v>
      </c>
      <c r="C144" s="151" t="s">
        <v>187</v>
      </c>
      <c r="D144" s="172" t="s">
        <v>243</v>
      </c>
      <c r="E144" s="171"/>
      <c r="F144" s="172"/>
      <c r="G144" s="184">
        <f t="shared" si="5"/>
        <v>1409.5</v>
      </c>
      <c r="H144" s="173">
        <f t="shared" si="5"/>
        <v>0</v>
      </c>
      <c r="I144" s="86"/>
    </row>
    <row r="145" spans="1:9" s="48" customFormat="1" ht="15.75">
      <c r="A145" s="369" t="s">
        <v>209</v>
      </c>
      <c r="B145" s="172" t="s">
        <v>200</v>
      </c>
      <c r="C145" s="151" t="s">
        <v>187</v>
      </c>
      <c r="D145" s="172" t="s">
        <v>243</v>
      </c>
      <c r="E145" s="171" t="s">
        <v>67</v>
      </c>
      <c r="F145" s="149"/>
      <c r="G145" s="184">
        <f>'Прилож №3'!H115+'Прилож №3'!H119</f>
        <v>1409.5</v>
      </c>
      <c r="H145" s="158"/>
      <c r="I145" s="86"/>
    </row>
    <row r="146" spans="1:9" s="48" customFormat="1" ht="15.75">
      <c r="A146" s="190" t="s">
        <v>54</v>
      </c>
      <c r="B146" s="172" t="s">
        <v>200</v>
      </c>
      <c r="C146" s="151" t="s">
        <v>187</v>
      </c>
      <c r="D146" s="152" t="s">
        <v>75</v>
      </c>
      <c r="E146" s="237"/>
      <c r="F146" s="234" t="e">
        <f>#REF!</f>
        <v>#REF!</v>
      </c>
      <c r="G146" s="184">
        <f aca="true" t="shared" si="6" ref="G146:H148">G147</f>
        <v>24348.6</v>
      </c>
      <c r="H146" s="173">
        <f t="shared" si="6"/>
        <v>0</v>
      </c>
      <c r="I146" s="86"/>
    </row>
    <row r="147" spans="1:9" s="48" customFormat="1" ht="15.75">
      <c r="A147" s="370" t="s">
        <v>291</v>
      </c>
      <c r="B147" s="152" t="s">
        <v>200</v>
      </c>
      <c r="C147" s="151" t="s">
        <v>187</v>
      </c>
      <c r="D147" s="152" t="s">
        <v>292</v>
      </c>
      <c r="E147" s="151"/>
      <c r="F147" s="152"/>
      <c r="G147" s="180">
        <f t="shared" si="6"/>
        <v>24348.6</v>
      </c>
      <c r="H147" s="154">
        <f t="shared" si="6"/>
        <v>0</v>
      </c>
      <c r="I147" s="86"/>
    </row>
    <row r="148" spans="1:9" s="48" customFormat="1" ht="15.75">
      <c r="A148" s="370" t="s">
        <v>364</v>
      </c>
      <c r="B148" s="152" t="s">
        <v>200</v>
      </c>
      <c r="C148" s="151" t="s">
        <v>187</v>
      </c>
      <c r="D148" s="152" t="s">
        <v>365</v>
      </c>
      <c r="E148" s="151"/>
      <c r="F148" s="152"/>
      <c r="G148" s="180">
        <f t="shared" si="6"/>
        <v>24348.6</v>
      </c>
      <c r="H148" s="154">
        <f t="shared" si="6"/>
        <v>0</v>
      </c>
      <c r="I148" s="86"/>
    </row>
    <row r="149" spans="1:9" s="48" customFormat="1" ht="15.75">
      <c r="A149" s="363" t="s">
        <v>146</v>
      </c>
      <c r="B149" s="152" t="s">
        <v>200</v>
      </c>
      <c r="C149" s="151" t="s">
        <v>187</v>
      </c>
      <c r="D149" s="152" t="s">
        <v>365</v>
      </c>
      <c r="E149" s="151" t="s">
        <v>278</v>
      </c>
      <c r="F149" s="152"/>
      <c r="G149" s="180">
        <f>'Прилож №3'!H461+'Прилож №3'!H123</f>
        <v>24348.6</v>
      </c>
      <c r="H149" s="154">
        <f>'Прилож №3'!I461+'Прилож №3'!I123</f>
        <v>0</v>
      </c>
      <c r="I149" s="86"/>
    </row>
    <row r="150" spans="1:9" s="48" customFormat="1" ht="30">
      <c r="A150" s="370" t="s">
        <v>390</v>
      </c>
      <c r="B150" s="152" t="s">
        <v>200</v>
      </c>
      <c r="C150" s="151" t="s">
        <v>187</v>
      </c>
      <c r="D150" s="152" t="s">
        <v>391</v>
      </c>
      <c r="E150" s="151"/>
      <c r="F150" s="152"/>
      <c r="G150" s="180">
        <f>G151</f>
        <v>77984.79999999999</v>
      </c>
      <c r="H150" s="154">
        <f>H151</f>
        <v>54173.299999999996</v>
      </c>
      <c r="I150" s="86"/>
    </row>
    <row r="151" spans="1:9" s="48" customFormat="1" ht="15.75">
      <c r="A151" s="370" t="s">
        <v>392</v>
      </c>
      <c r="B151" s="152" t="s">
        <v>200</v>
      </c>
      <c r="C151" s="151" t="s">
        <v>187</v>
      </c>
      <c r="D151" s="152" t="s">
        <v>463</v>
      </c>
      <c r="E151" s="151"/>
      <c r="F151" s="152"/>
      <c r="G151" s="180">
        <f>G152</f>
        <v>77984.79999999999</v>
      </c>
      <c r="H151" s="154">
        <f>H152</f>
        <v>54173.299999999996</v>
      </c>
      <c r="I151" s="86"/>
    </row>
    <row r="152" spans="1:9" s="48" customFormat="1" ht="39">
      <c r="A152" s="46" t="s">
        <v>475</v>
      </c>
      <c r="B152" s="152" t="s">
        <v>200</v>
      </c>
      <c r="C152" s="151" t="s">
        <v>187</v>
      </c>
      <c r="D152" s="152" t="s">
        <v>463</v>
      </c>
      <c r="E152" s="151" t="s">
        <v>461</v>
      </c>
      <c r="F152" s="152"/>
      <c r="G152" s="180">
        <f>'Прилож №3'!H126+'Прилож №3'!H127</f>
        <v>77984.79999999999</v>
      </c>
      <c r="H152" s="154">
        <f>'Прилож №3'!I126+'Прилож №3'!I127</f>
        <v>54173.299999999996</v>
      </c>
      <c r="I152" s="86"/>
    </row>
    <row r="153" spans="1:9" s="48" customFormat="1" ht="15.75">
      <c r="A153" s="268" t="s">
        <v>131</v>
      </c>
      <c r="B153" s="152" t="s">
        <v>200</v>
      </c>
      <c r="C153" s="151" t="s">
        <v>187</v>
      </c>
      <c r="D153" s="152" t="s">
        <v>132</v>
      </c>
      <c r="E153" s="151"/>
      <c r="F153" s="152"/>
      <c r="G153" s="180">
        <f>G156+G154</f>
        <v>23563.7</v>
      </c>
      <c r="H153" s="154"/>
      <c r="I153" s="86"/>
    </row>
    <row r="154" spans="1:9" s="48" customFormat="1" ht="26.25">
      <c r="A154" s="291" t="s">
        <v>371</v>
      </c>
      <c r="B154" s="152" t="s">
        <v>200</v>
      </c>
      <c r="C154" s="151" t="s">
        <v>187</v>
      </c>
      <c r="D154" s="152" t="s">
        <v>264</v>
      </c>
      <c r="E154" s="151"/>
      <c r="F154" s="152"/>
      <c r="G154" s="180">
        <f>G155</f>
        <v>23563.7</v>
      </c>
      <c r="H154" s="154"/>
      <c r="I154" s="86"/>
    </row>
    <row r="155" spans="1:9" s="48" customFormat="1" ht="15.75">
      <c r="A155" s="369" t="s">
        <v>209</v>
      </c>
      <c r="B155" s="152" t="s">
        <v>200</v>
      </c>
      <c r="C155" s="151" t="s">
        <v>187</v>
      </c>
      <c r="D155" s="152" t="s">
        <v>264</v>
      </c>
      <c r="E155" s="151" t="s">
        <v>67</v>
      </c>
      <c r="F155" s="152"/>
      <c r="G155" s="180">
        <f>'Прилож №3'!H130</f>
        <v>23563.7</v>
      </c>
      <c r="H155" s="154"/>
      <c r="I155" s="86"/>
    </row>
    <row r="156" spans="1:9" s="48" customFormat="1" ht="30" customHeight="1">
      <c r="A156" s="291" t="s">
        <v>363</v>
      </c>
      <c r="B156" s="152" t="s">
        <v>200</v>
      </c>
      <c r="C156" s="151" t="s">
        <v>187</v>
      </c>
      <c r="D156" s="152" t="s">
        <v>298</v>
      </c>
      <c r="E156" s="151"/>
      <c r="F156" s="152"/>
      <c r="G156" s="180">
        <f>G157</f>
        <v>0</v>
      </c>
      <c r="H156" s="154"/>
      <c r="I156" s="86"/>
    </row>
    <row r="157" spans="1:9" s="48" customFormat="1" ht="15.75">
      <c r="A157" s="369" t="s">
        <v>209</v>
      </c>
      <c r="B157" s="152" t="s">
        <v>200</v>
      </c>
      <c r="C157" s="151" t="s">
        <v>187</v>
      </c>
      <c r="D157" s="152" t="s">
        <v>298</v>
      </c>
      <c r="E157" s="151" t="s">
        <v>67</v>
      </c>
      <c r="F157" s="152"/>
      <c r="G157" s="180">
        <f>'Прилож №3'!H132</f>
        <v>0</v>
      </c>
      <c r="H157" s="154"/>
      <c r="I157" s="86"/>
    </row>
    <row r="158" spans="1:9" s="23" customFormat="1" ht="15.75">
      <c r="A158" s="362" t="s">
        <v>134</v>
      </c>
      <c r="B158" s="156" t="s">
        <v>200</v>
      </c>
      <c r="C158" s="155" t="s">
        <v>191</v>
      </c>
      <c r="D158" s="156"/>
      <c r="E158" s="155"/>
      <c r="F158" s="156"/>
      <c r="G158" s="179">
        <f>G171+G182+G159+G163</f>
        <v>63687.20000000001</v>
      </c>
      <c r="H158" s="158">
        <f>H171</f>
        <v>0</v>
      </c>
      <c r="I158" s="86"/>
    </row>
    <row r="159" spans="1:9" s="23" customFormat="1" ht="26.25">
      <c r="A159" s="372" t="s">
        <v>206</v>
      </c>
      <c r="B159" s="152" t="s">
        <v>200</v>
      </c>
      <c r="C159" s="151" t="s">
        <v>191</v>
      </c>
      <c r="D159" s="172" t="s">
        <v>71</v>
      </c>
      <c r="E159" s="171"/>
      <c r="F159" s="156"/>
      <c r="G159" s="180">
        <f>G160</f>
        <v>2000</v>
      </c>
      <c r="H159" s="158"/>
      <c r="I159" s="86"/>
    </row>
    <row r="160" spans="1:9" s="23" customFormat="1" ht="39">
      <c r="A160" s="372" t="s">
        <v>207</v>
      </c>
      <c r="B160" s="152" t="s">
        <v>200</v>
      </c>
      <c r="C160" s="151" t="s">
        <v>191</v>
      </c>
      <c r="D160" s="172" t="s">
        <v>208</v>
      </c>
      <c r="E160" s="171"/>
      <c r="F160" s="156"/>
      <c r="G160" s="180">
        <f>G161</f>
        <v>2000</v>
      </c>
      <c r="H160" s="158"/>
      <c r="I160" s="86"/>
    </row>
    <row r="161" spans="1:9" s="23" customFormat="1" ht="39">
      <c r="A161" s="372" t="s">
        <v>476</v>
      </c>
      <c r="B161" s="152" t="s">
        <v>200</v>
      </c>
      <c r="C161" s="151" t="s">
        <v>191</v>
      </c>
      <c r="D161" s="172" t="s">
        <v>243</v>
      </c>
      <c r="E161" s="171"/>
      <c r="F161" s="156"/>
      <c r="G161" s="180">
        <f>G162</f>
        <v>2000</v>
      </c>
      <c r="H161" s="158"/>
      <c r="I161" s="86"/>
    </row>
    <row r="162" spans="1:9" s="23" customFormat="1" ht="15.75">
      <c r="A162" s="372" t="s">
        <v>209</v>
      </c>
      <c r="B162" s="152" t="s">
        <v>200</v>
      </c>
      <c r="C162" s="151" t="s">
        <v>191</v>
      </c>
      <c r="D162" s="172" t="s">
        <v>243</v>
      </c>
      <c r="E162" s="171" t="s">
        <v>67</v>
      </c>
      <c r="F162" s="152"/>
      <c r="G162" s="180">
        <f>'Прилож №3'!H137</f>
        <v>2000</v>
      </c>
      <c r="H162" s="158"/>
      <c r="I162" s="86"/>
    </row>
    <row r="163" spans="1:9" s="23" customFormat="1" ht="15.75">
      <c r="A163" s="372" t="s">
        <v>54</v>
      </c>
      <c r="B163" s="152" t="s">
        <v>200</v>
      </c>
      <c r="C163" s="151" t="s">
        <v>191</v>
      </c>
      <c r="D163" s="152" t="s">
        <v>75</v>
      </c>
      <c r="E163" s="171"/>
      <c r="F163" s="152"/>
      <c r="G163" s="180">
        <f>G164</f>
        <v>12271.7</v>
      </c>
      <c r="H163" s="158"/>
      <c r="I163" s="86"/>
    </row>
    <row r="164" spans="1:9" s="23" customFormat="1" ht="15.75">
      <c r="A164" s="372" t="s">
        <v>430</v>
      </c>
      <c r="B164" s="152" t="s">
        <v>200</v>
      </c>
      <c r="C164" s="151" t="s">
        <v>191</v>
      </c>
      <c r="D164" s="152" t="s">
        <v>431</v>
      </c>
      <c r="E164" s="171"/>
      <c r="F164" s="152"/>
      <c r="G164" s="180">
        <f>G165+G167+G169</f>
        <v>12271.7</v>
      </c>
      <c r="H164" s="158"/>
      <c r="I164" s="86"/>
    </row>
    <row r="165" spans="1:9" s="23" customFormat="1" ht="15.75">
      <c r="A165" s="372" t="s">
        <v>432</v>
      </c>
      <c r="B165" s="152" t="s">
        <v>200</v>
      </c>
      <c r="C165" s="151" t="s">
        <v>191</v>
      </c>
      <c r="D165" s="152" t="s">
        <v>433</v>
      </c>
      <c r="E165" s="171"/>
      <c r="F165" s="152"/>
      <c r="G165" s="180">
        <f>G166</f>
        <v>1193.9</v>
      </c>
      <c r="H165" s="158"/>
      <c r="I165" s="86"/>
    </row>
    <row r="166" spans="1:9" s="23" customFormat="1" ht="15.75">
      <c r="A166" s="372" t="s">
        <v>181</v>
      </c>
      <c r="B166" s="152" t="s">
        <v>200</v>
      </c>
      <c r="C166" s="151" t="s">
        <v>191</v>
      </c>
      <c r="D166" s="152" t="s">
        <v>433</v>
      </c>
      <c r="E166" s="171" t="s">
        <v>87</v>
      </c>
      <c r="F166" s="152"/>
      <c r="G166" s="180">
        <f>'Прилож №3'!H141</f>
        <v>1193.9</v>
      </c>
      <c r="H166" s="158"/>
      <c r="I166" s="86"/>
    </row>
    <row r="167" spans="1:9" s="23" customFormat="1" ht="15.75">
      <c r="A167" s="372" t="s">
        <v>137</v>
      </c>
      <c r="B167" s="152" t="s">
        <v>200</v>
      </c>
      <c r="C167" s="151" t="s">
        <v>191</v>
      </c>
      <c r="D167" s="152" t="s">
        <v>434</v>
      </c>
      <c r="E167" s="171"/>
      <c r="F167" s="152"/>
      <c r="G167" s="180">
        <f>G168</f>
        <v>1082.1</v>
      </c>
      <c r="H167" s="158"/>
      <c r="I167" s="86"/>
    </row>
    <row r="168" spans="1:9" s="23" customFormat="1" ht="15.75">
      <c r="A168" s="372" t="s">
        <v>181</v>
      </c>
      <c r="B168" s="152" t="s">
        <v>200</v>
      </c>
      <c r="C168" s="151" t="s">
        <v>191</v>
      </c>
      <c r="D168" s="152" t="s">
        <v>434</v>
      </c>
      <c r="E168" s="171" t="s">
        <v>87</v>
      </c>
      <c r="F168" s="152"/>
      <c r="G168" s="180">
        <f>'Прилож №3'!H143</f>
        <v>1082.1</v>
      </c>
      <c r="H168" s="158"/>
      <c r="I168" s="86"/>
    </row>
    <row r="169" spans="1:9" s="23" customFormat="1" ht="15.75">
      <c r="A169" s="372" t="s">
        <v>435</v>
      </c>
      <c r="B169" s="152" t="s">
        <v>200</v>
      </c>
      <c r="C169" s="151" t="s">
        <v>191</v>
      </c>
      <c r="D169" s="152" t="s">
        <v>436</v>
      </c>
      <c r="E169" s="171"/>
      <c r="F169" s="152"/>
      <c r="G169" s="180">
        <f>G170</f>
        <v>9995.7</v>
      </c>
      <c r="H169" s="158"/>
      <c r="I169" s="86"/>
    </row>
    <row r="170" spans="1:9" s="23" customFormat="1" ht="15.75">
      <c r="A170" s="372" t="s">
        <v>181</v>
      </c>
      <c r="B170" s="152" t="s">
        <v>200</v>
      </c>
      <c r="C170" s="151" t="s">
        <v>191</v>
      </c>
      <c r="D170" s="152" t="s">
        <v>436</v>
      </c>
      <c r="E170" s="171" t="s">
        <v>87</v>
      </c>
      <c r="F170" s="152"/>
      <c r="G170" s="180">
        <f>'Прилож №3'!H145</f>
        <v>9995.7</v>
      </c>
      <c r="H170" s="158"/>
      <c r="I170" s="86"/>
    </row>
    <row r="171" spans="1:9" s="48" customFormat="1" ht="15.75">
      <c r="A171" s="269" t="s">
        <v>134</v>
      </c>
      <c r="B171" s="152" t="s">
        <v>200</v>
      </c>
      <c r="C171" s="151" t="s">
        <v>191</v>
      </c>
      <c r="D171" s="31" t="s">
        <v>294</v>
      </c>
      <c r="E171" s="151"/>
      <c r="F171" s="152"/>
      <c r="G171" s="180">
        <f>G172+G174+G176+G178+G180</f>
        <v>45504.600000000006</v>
      </c>
      <c r="H171" s="154">
        <f>H172+H174+H176+H178+H180</f>
        <v>0</v>
      </c>
      <c r="I171" s="86"/>
    </row>
    <row r="172" spans="1:9" s="48" customFormat="1" ht="15.75">
      <c r="A172" s="269" t="s">
        <v>321</v>
      </c>
      <c r="B172" s="152" t="s">
        <v>200</v>
      </c>
      <c r="C172" s="151" t="s">
        <v>191</v>
      </c>
      <c r="D172" s="31" t="s">
        <v>322</v>
      </c>
      <c r="E172" s="151"/>
      <c r="F172" s="152"/>
      <c r="G172" s="180">
        <f>G173</f>
        <v>11997.900000000001</v>
      </c>
      <c r="H172" s="154">
        <f>H173</f>
        <v>0</v>
      </c>
      <c r="I172" s="86"/>
    </row>
    <row r="173" spans="1:9" s="48" customFormat="1" ht="15.75">
      <c r="A173" s="325" t="s">
        <v>146</v>
      </c>
      <c r="B173" s="152" t="s">
        <v>200</v>
      </c>
      <c r="C173" s="151" t="s">
        <v>191</v>
      </c>
      <c r="D173" s="31" t="s">
        <v>322</v>
      </c>
      <c r="E173" s="151" t="s">
        <v>278</v>
      </c>
      <c r="F173" s="152"/>
      <c r="G173" s="180">
        <f>'Прилож №3'!H148</f>
        <v>11997.900000000001</v>
      </c>
      <c r="H173" s="154">
        <f aca="true" t="shared" si="7" ref="H173:H180">H174</f>
        <v>0</v>
      </c>
      <c r="I173" s="86"/>
    </row>
    <row r="174" spans="1:9" s="48" customFormat="1" ht="27.75" customHeight="1">
      <c r="A174" s="291" t="s">
        <v>295</v>
      </c>
      <c r="B174" s="152" t="s">
        <v>200</v>
      </c>
      <c r="C174" s="151" t="s">
        <v>191</v>
      </c>
      <c r="D174" s="31" t="s">
        <v>296</v>
      </c>
      <c r="E174" s="151"/>
      <c r="F174" s="152"/>
      <c r="G174" s="180">
        <f>G175</f>
        <v>7970.5</v>
      </c>
      <c r="H174" s="154">
        <f t="shared" si="7"/>
        <v>0</v>
      </c>
      <c r="I174" s="86"/>
    </row>
    <row r="175" spans="1:9" s="48" customFormat="1" ht="15.75">
      <c r="A175" s="325" t="s">
        <v>146</v>
      </c>
      <c r="B175" s="152" t="s">
        <v>200</v>
      </c>
      <c r="C175" s="151" t="s">
        <v>191</v>
      </c>
      <c r="D175" s="31" t="s">
        <v>296</v>
      </c>
      <c r="E175" s="151" t="s">
        <v>278</v>
      </c>
      <c r="F175" s="152"/>
      <c r="G175" s="180">
        <f>'Прилож №3'!H150</f>
        <v>7970.5</v>
      </c>
      <c r="H175" s="154">
        <f t="shared" si="7"/>
        <v>0</v>
      </c>
      <c r="I175" s="86"/>
    </row>
    <row r="176" spans="1:9" s="48" customFormat="1" ht="15.75">
      <c r="A176" s="269" t="s">
        <v>137</v>
      </c>
      <c r="B176" s="152" t="s">
        <v>200</v>
      </c>
      <c r="C176" s="151" t="s">
        <v>191</v>
      </c>
      <c r="D176" s="31" t="s">
        <v>323</v>
      </c>
      <c r="E176" s="151"/>
      <c r="F176" s="152"/>
      <c r="G176" s="180">
        <f>G177</f>
        <v>6253</v>
      </c>
      <c r="H176" s="154">
        <f t="shared" si="7"/>
        <v>0</v>
      </c>
      <c r="I176" s="86"/>
    </row>
    <row r="177" spans="1:9" s="48" customFormat="1" ht="15.75">
      <c r="A177" s="325" t="s">
        <v>146</v>
      </c>
      <c r="B177" s="152" t="s">
        <v>200</v>
      </c>
      <c r="C177" s="151" t="s">
        <v>191</v>
      </c>
      <c r="D177" s="31" t="s">
        <v>323</v>
      </c>
      <c r="E177" s="151" t="s">
        <v>278</v>
      </c>
      <c r="F177" s="152"/>
      <c r="G177" s="180">
        <f>'Прилож №3'!H152+'Прилож №3'!H397</f>
        <v>6253</v>
      </c>
      <c r="H177" s="154">
        <f t="shared" si="7"/>
        <v>0</v>
      </c>
      <c r="I177" s="86"/>
    </row>
    <row r="178" spans="1:9" s="48" customFormat="1" ht="15.75">
      <c r="A178" s="269" t="s">
        <v>145</v>
      </c>
      <c r="B178" s="152" t="s">
        <v>200</v>
      </c>
      <c r="C178" s="151" t="s">
        <v>191</v>
      </c>
      <c r="D178" s="31" t="s">
        <v>324</v>
      </c>
      <c r="E178" s="151"/>
      <c r="F178" s="152"/>
      <c r="G178" s="180">
        <f>G179</f>
        <v>3638</v>
      </c>
      <c r="H178" s="154">
        <f t="shared" si="7"/>
        <v>0</v>
      </c>
      <c r="I178" s="86"/>
    </row>
    <row r="179" spans="1:9" s="48" customFormat="1" ht="15.75">
      <c r="A179" s="325" t="s">
        <v>146</v>
      </c>
      <c r="B179" s="152" t="s">
        <v>200</v>
      </c>
      <c r="C179" s="151" t="s">
        <v>191</v>
      </c>
      <c r="D179" s="31" t="s">
        <v>324</v>
      </c>
      <c r="E179" s="151" t="s">
        <v>278</v>
      </c>
      <c r="F179" s="152" t="s">
        <v>135</v>
      </c>
      <c r="G179" s="180">
        <f>'Прилож №3'!H154</f>
        <v>3638</v>
      </c>
      <c r="H179" s="154">
        <f t="shared" si="7"/>
        <v>0</v>
      </c>
      <c r="I179" s="86"/>
    </row>
    <row r="180" spans="1:9" s="48" customFormat="1" ht="17.25" customHeight="1">
      <c r="A180" s="269" t="s">
        <v>325</v>
      </c>
      <c r="B180" s="161" t="s">
        <v>200</v>
      </c>
      <c r="C180" s="160" t="s">
        <v>191</v>
      </c>
      <c r="D180" s="31" t="s">
        <v>326</v>
      </c>
      <c r="E180" s="160"/>
      <c r="F180" s="161" t="s">
        <v>136</v>
      </c>
      <c r="G180" s="181">
        <f>G181</f>
        <v>15645.2</v>
      </c>
      <c r="H180" s="162">
        <f t="shared" si="7"/>
        <v>0</v>
      </c>
      <c r="I180" s="86"/>
    </row>
    <row r="181" spans="1:9" s="48" customFormat="1" ht="17.25" customHeight="1">
      <c r="A181" s="325" t="s">
        <v>146</v>
      </c>
      <c r="B181" s="152" t="s">
        <v>200</v>
      </c>
      <c r="C181" s="151" t="s">
        <v>191</v>
      </c>
      <c r="D181" s="31" t="s">
        <v>326</v>
      </c>
      <c r="E181" s="151" t="s">
        <v>278</v>
      </c>
      <c r="F181" s="153"/>
      <c r="G181" s="176">
        <f>'Прилож №3'!H156+'Прилож №3'!H399</f>
        <v>15645.2</v>
      </c>
      <c r="H181" s="154"/>
      <c r="I181" s="86"/>
    </row>
    <row r="182" spans="1:9" s="48" customFormat="1" ht="19.5" customHeight="1">
      <c r="A182" s="291" t="s">
        <v>131</v>
      </c>
      <c r="B182" s="152" t="s">
        <v>200</v>
      </c>
      <c r="C182" s="151" t="s">
        <v>191</v>
      </c>
      <c r="D182" s="152" t="s">
        <v>132</v>
      </c>
      <c r="E182" s="151"/>
      <c r="F182" s="153"/>
      <c r="G182" s="176">
        <f>G183</f>
        <v>3910.8999999999996</v>
      </c>
      <c r="H182" s="162"/>
      <c r="I182" s="86"/>
    </row>
    <row r="183" spans="1:9" s="48" customFormat="1" ht="44.25" customHeight="1">
      <c r="A183" s="291" t="s">
        <v>286</v>
      </c>
      <c r="B183" s="152" t="s">
        <v>200</v>
      </c>
      <c r="C183" s="151" t="s">
        <v>191</v>
      </c>
      <c r="D183" s="152" t="s">
        <v>287</v>
      </c>
      <c r="E183" s="151"/>
      <c r="F183" s="153"/>
      <c r="G183" s="176">
        <f>G184</f>
        <v>3910.8999999999996</v>
      </c>
      <c r="H183" s="162"/>
      <c r="I183" s="86"/>
    </row>
    <row r="184" spans="1:9" s="48" customFormat="1" ht="17.25" customHeight="1">
      <c r="A184" s="325" t="s">
        <v>146</v>
      </c>
      <c r="B184" s="152" t="s">
        <v>200</v>
      </c>
      <c r="C184" s="151" t="s">
        <v>191</v>
      </c>
      <c r="D184" s="152" t="s">
        <v>287</v>
      </c>
      <c r="E184" s="151" t="s">
        <v>278</v>
      </c>
      <c r="F184" s="161"/>
      <c r="G184" s="185">
        <f>'Прилож №3'!H159</f>
        <v>3910.8999999999996</v>
      </c>
      <c r="H184" s="162"/>
      <c r="I184" s="86"/>
    </row>
    <row r="185" spans="1:9" s="48" customFormat="1" ht="16.5" thickBot="1">
      <c r="A185" s="365" t="s">
        <v>43</v>
      </c>
      <c r="B185" s="204" t="s">
        <v>205</v>
      </c>
      <c r="C185" s="186" t="s">
        <v>126</v>
      </c>
      <c r="D185" s="204"/>
      <c r="E185" s="186"/>
      <c r="F185" s="191"/>
      <c r="G185" s="228">
        <f aca="true" t="shared" si="8" ref="G185:H188">G186</f>
        <v>1071.1</v>
      </c>
      <c r="H185" s="183">
        <f t="shared" si="8"/>
        <v>0</v>
      </c>
      <c r="I185" s="86"/>
    </row>
    <row r="186" spans="1:9" s="48" customFormat="1" ht="15.75">
      <c r="A186" s="368" t="s">
        <v>44</v>
      </c>
      <c r="B186" s="149" t="s">
        <v>205</v>
      </c>
      <c r="C186" s="187" t="s">
        <v>200</v>
      </c>
      <c r="D186" s="149"/>
      <c r="E186" s="187"/>
      <c r="F186" s="235"/>
      <c r="G186" s="197">
        <f t="shared" si="8"/>
        <v>1071.1</v>
      </c>
      <c r="H186" s="188">
        <f t="shared" si="8"/>
        <v>0</v>
      </c>
      <c r="I186" s="86"/>
    </row>
    <row r="187" spans="1:9" s="48" customFormat="1" ht="15.75">
      <c r="A187" s="190" t="s">
        <v>131</v>
      </c>
      <c r="B187" s="172" t="s">
        <v>205</v>
      </c>
      <c r="C187" s="171" t="s">
        <v>200</v>
      </c>
      <c r="D187" s="172" t="s">
        <v>132</v>
      </c>
      <c r="E187" s="171"/>
      <c r="F187" s="200"/>
      <c r="G187" s="184">
        <f t="shared" si="8"/>
        <v>1071.1</v>
      </c>
      <c r="H187" s="173">
        <f t="shared" si="8"/>
        <v>0</v>
      </c>
      <c r="I187" s="86"/>
    </row>
    <row r="188" spans="1:9" s="48" customFormat="1" ht="29.25" customHeight="1">
      <c r="A188" s="355" t="s">
        <v>369</v>
      </c>
      <c r="B188" s="172" t="s">
        <v>205</v>
      </c>
      <c r="C188" s="171" t="s">
        <v>200</v>
      </c>
      <c r="D188" s="172" t="s">
        <v>262</v>
      </c>
      <c r="E188" s="171"/>
      <c r="F188" s="200"/>
      <c r="G188" s="184">
        <f t="shared" si="8"/>
        <v>1071.1</v>
      </c>
      <c r="H188" s="173">
        <f t="shared" si="8"/>
        <v>0</v>
      </c>
      <c r="I188" s="86"/>
    </row>
    <row r="189" spans="1:9" s="48" customFormat="1" ht="16.5" thickBot="1">
      <c r="A189" s="357" t="s">
        <v>341</v>
      </c>
      <c r="B189" s="172" t="s">
        <v>205</v>
      </c>
      <c r="C189" s="171" t="s">
        <v>200</v>
      </c>
      <c r="D189" s="172" t="s">
        <v>262</v>
      </c>
      <c r="E189" s="171" t="s">
        <v>4</v>
      </c>
      <c r="F189" s="200"/>
      <c r="G189" s="184">
        <f>'Прилож №3'!H164+'Прилож №3'!H404+'Прилож №3'!H260+'Прилож №3'!H315</f>
        <v>1071.1</v>
      </c>
      <c r="H189" s="173">
        <f>'Прилож №3'!I164+'Прилож №3'!I404</f>
        <v>0</v>
      </c>
      <c r="I189" s="86"/>
    </row>
    <row r="190" spans="1:9" s="48" customFormat="1" ht="16.5" thickBot="1">
      <c r="A190" s="371" t="s">
        <v>6</v>
      </c>
      <c r="B190" s="164" t="s">
        <v>194</v>
      </c>
      <c r="C190" s="163" t="s">
        <v>126</v>
      </c>
      <c r="D190" s="164"/>
      <c r="E190" s="163"/>
      <c r="F190" s="182"/>
      <c r="G190" s="175">
        <f>G191+G199+G218+G228</f>
        <v>710579.6000000001</v>
      </c>
      <c r="H190" s="165">
        <f>H191+H199+H218+H228</f>
        <v>245366.5</v>
      </c>
      <c r="I190" s="86"/>
    </row>
    <row r="191" spans="1:9" s="48" customFormat="1" ht="15.75">
      <c r="A191" s="368" t="s">
        <v>7</v>
      </c>
      <c r="B191" s="166" t="s">
        <v>194</v>
      </c>
      <c r="C191" s="148" t="s">
        <v>186</v>
      </c>
      <c r="D191" s="166"/>
      <c r="E191" s="148"/>
      <c r="F191" s="166"/>
      <c r="G191" s="226">
        <f>G192+G196</f>
        <v>275024.3</v>
      </c>
      <c r="H191" s="150">
        <f>H192+H196</f>
        <v>2700</v>
      </c>
      <c r="I191" s="86"/>
    </row>
    <row r="192" spans="1:9" s="48" customFormat="1" ht="30">
      <c r="A192" s="369" t="s">
        <v>206</v>
      </c>
      <c r="B192" s="233" t="s">
        <v>194</v>
      </c>
      <c r="C192" s="171" t="s">
        <v>186</v>
      </c>
      <c r="D192" s="172" t="s">
        <v>71</v>
      </c>
      <c r="E192" s="171"/>
      <c r="F192" s="172"/>
      <c r="G192" s="184">
        <f aca="true" t="shared" si="9" ref="G192:H194">G193</f>
        <v>1319.2</v>
      </c>
      <c r="H192" s="173">
        <f t="shared" si="9"/>
        <v>0</v>
      </c>
      <c r="I192" s="86"/>
    </row>
    <row r="193" spans="1:9" s="48" customFormat="1" ht="60">
      <c r="A193" s="369" t="s">
        <v>207</v>
      </c>
      <c r="B193" s="233" t="s">
        <v>194</v>
      </c>
      <c r="C193" s="171" t="s">
        <v>186</v>
      </c>
      <c r="D193" s="172" t="s">
        <v>208</v>
      </c>
      <c r="E193" s="171"/>
      <c r="F193" s="172"/>
      <c r="G193" s="184">
        <f t="shared" si="9"/>
        <v>1319.2</v>
      </c>
      <c r="H193" s="173">
        <f t="shared" si="9"/>
        <v>0</v>
      </c>
      <c r="I193" s="86"/>
    </row>
    <row r="194" spans="1:9" s="48" customFormat="1" ht="30">
      <c r="A194" s="369" t="s">
        <v>242</v>
      </c>
      <c r="B194" s="152" t="s">
        <v>194</v>
      </c>
      <c r="C194" s="171" t="s">
        <v>186</v>
      </c>
      <c r="D194" s="172" t="s">
        <v>243</v>
      </c>
      <c r="E194" s="171"/>
      <c r="F194" s="172"/>
      <c r="G194" s="184">
        <f t="shared" si="9"/>
        <v>1319.2</v>
      </c>
      <c r="H194" s="173">
        <f t="shared" si="9"/>
        <v>0</v>
      </c>
      <c r="I194" s="86"/>
    </row>
    <row r="195" spans="1:9" s="48" customFormat="1" ht="15.75">
      <c r="A195" s="369" t="s">
        <v>209</v>
      </c>
      <c r="B195" s="233" t="s">
        <v>194</v>
      </c>
      <c r="C195" s="171" t="s">
        <v>186</v>
      </c>
      <c r="D195" s="172" t="s">
        <v>243</v>
      </c>
      <c r="E195" s="171" t="s">
        <v>67</v>
      </c>
      <c r="F195" s="172"/>
      <c r="G195" s="184">
        <f>'Прилож №3'!H170+'Прилож №3'!H174+'Прилож №3'!H178</f>
        <v>1319.2</v>
      </c>
      <c r="H195" s="173">
        <f>'Прилож №3'!I170+'Прилож №3'!I174</f>
        <v>0</v>
      </c>
      <c r="I195" s="86"/>
    </row>
    <row r="196" spans="1:9" s="48" customFormat="1" ht="15.75">
      <c r="A196" s="190" t="s">
        <v>8</v>
      </c>
      <c r="B196" s="161" t="s">
        <v>194</v>
      </c>
      <c r="C196" s="151" t="s">
        <v>186</v>
      </c>
      <c r="D196" s="152" t="s">
        <v>26</v>
      </c>
      <c r="E196" s="151"/>
      <c r="F196" s="152"/>
      <c r="G196" s="180">
        <f>G197</f>
        <v>273705.1</v>
      </c>
      <c r="H196" s="154">
        <f>H197</f>
        <v>2700</v>
      </c>
      <c r="I196" s="86"/>
    </row>
    <row r="197" spans="1:9" s="48" customFormat="1" ht="15.75">
      <c r="A197" s="363" t="s">
        <v>27</v>
      </c>
      <c r="B197" s="161" t="s">
        <v>194</v>
      </c>
      <c r="C197" s="160" t="s">
        <v>186</v>
      </c>
      <c r="D197" s="161" t="s">
        <v>210</v>
      </c>
      <c r="E197" s="160"/>
      <c r="F197" s="161"/>
      <c r="G197" s="180">
        <f>G198</f>
        <v>273705.1</v>
      </c>
      <c r="H197" s="154">
        <f>H198</f>
        <v>2700</v>
      </c>
      <c r="I197" s="86"/>
    </row>
    <row r="198" spans="1:9" s="48" customFormat="1" ht="15.75">
      <c r="A198" s="363" t="s">
        <v>172</v>
      </c>
      <c r="B198" s="161" t="s">
        <v>194</v>
      </c>
      <c r="C198" s="160" t="s">
        <v>186</v>
      </c>
      <c r="D198" s="161" t="s">
        <v>210</v>
      </c>
      <c r="E198" s="160" t="s">
        <v>86</v>
      </c>
      <c r="F198" s="161"/>
      <c r="G198" s="180">
        <f>'Прилож №3'!H266+'Прилож №3'!H181</f>
        <v>273705.1</v>
      </c>
      <c r="H198" s="154">
        <f>'Прилож №3'!I266</f>
        <v>2700</v>
      </c>
      <c r="I198" s="86"/>
    </row>
    <row r="199" spans="1:9" s="48" customFormat="1" ht="15.75">
      <c r="A199" s="362" t="s">
        <v>9</v>
      </c>
      <c r="B199" s="189" t="s">
        <v>194</v>
      </c>
      <c r="C199" s="174" t="s">
        <v>187</v>
      </c>
      <c r="D199" s="156"/>
      <c r="E199" s="155"/>
      <c r="F199" s="189"/>
      <c r="G199" s="179">
        <f>G204+G207+G210+G200</f>
        <v>389538.19999999995</v>
      </c>
      <c r="H199" s="158">
        <f>H204+H207+H210</f>
        <v>233022</v>
      </c>
      <c r="I199" s="86"/>
    </row>
    <row r="200" spans="1:9" s="48" customFormat="1" ht="26.25">
      <c r="A200" s="374" t="s">
        <v>206</v>
      </c>
      <c r="B200" s="31" t="s">
        <v>194</v>
      </c>
      <c r="C200" s="20" t="s">
        <v>187</v>
      </c>
      <c r="D200" s="31" t="s">
        <v>71</v>
      </c>
      <c r="E200" s="18"/>
      <c r="F200" s="31"/>
      <c r="G200" s="320">
        <f>G201</f>
        <v>329.6</v>
      </c>
      <c r="H200" s="36"/>
      <c r="I200" s="86"/>
    </row>
    <row r="201" spans="1:9" s="48" customFormat="1" ht="39">
      <c r="A201" s="374" t="s">
        <v>474</v>
      </c>
      <c r="B201" s="31" t="s">
        <v>194</v>
      </c>
      <c r="C201" s="20" t="s">
        <v>187</v>
      </c>
      <c r="D201" s="31" t="s">
        <v>208</v>
      </c>
      <c r="E201" s="18"/>
      <c r="F201" s="31"/>
      <c r="G201" s="320">
        <f>G202</f>
        <v>329.6</v>
      </c>
      <c r="H201" s="36"/>
      <c r="I201" s="86"/>
    </row>
    <row r="202" spans="1:9" s="48" customFormat="1" ht="26.25">
      <c r="A202" s="374" t="s">
        <v>242</v>
      </c>
      <c r="B202" s="31" t="s">
        <v>194</v>
      </c>
      <c r="C202" s="20" t="s">
        <v>187</v>
      </c>
      <c r="D202" s="31" t="s">
        <v>243</v>
      </c>
      <c r="E202" s="18"/>
      <c r="F202" s="31"/>
      <c r="G202" s="320">
        <f>G203</f>
        <v>329.6</v>
      </c>
      <c r="H202" s="36"/>
      <c r="I202" s="86"/>
    </row>
    <row r="203" spans="1:9" s="48" customFormat="1" ht="15.75">
      <c r="A203" s="268" t="s">
        <v>209</v>
      </c>
      <c r="B203" s="31" t="s">
        <v>194</v>
      </c>
      <c r="C203" s="20" t="s">
        <v>187</v>
      </c>
      <c r="D203" s="31" t="s">
        <v>243</v>
      </c>
      <c r="E203" s="18" t="s">
        <v>67</v>
      </c>
      <c r="F203" s="31"/>
      <c r="G203" s="320">
        <f>'Прилож №3'!H186</f>
        <v>329.6</v>
      </c>
      <c r="H203" s="36"/>
      <c r="I203" s="86"/>
    </row>
    <row r="204" spans="1:9" s="48" customFormat="1" ht="15" customHeight="1">
      <c r="A204" s="374" t="s">
        <v>110</v>
      </c>
      <c r="B204" s="30" t="s">
        <v>194</v>
      </c>
      <c r="C204" s="20" t="s">
        <v>187</v>
      </c>
      <c r="D204" s="31" t="s">
        <v>28</v>
      </c>
      <c r="E204" s="18"/>
      <c r="F204" s="31"/>
      <c r="G204" s="320">
        <f>G205</f>
        <v>306646.1</v>
      </c>
      <c r="H204" s="36">
        <f>H205</f>
        <v>222175</v>
      </c>
      <c r="I204" s="2"/>
    </row>
    <row r="205" spans="1:9" s="48" customFormat="1" ht="15.75">
      <c r="A205" s="268" t="s">
        <v>27</v>
      </c>
      <c r="B205" s="30" t="s">
        <v>194</v>
      </c>
      <c r="C205" s="18" t="s">
        <v>187</v>
      </c>
      <c r="D205" s="30" t="s">
        <v>211</v>
      </c>
      <c r="E205" s="18"/>
      <c r="F205" s="30"/>
      <c r="G205" s="339">
        <f>G206</f>
        <v>306646.1</v>
      </c>
      <c r="H205" s="38">
        <f>H206</f>
        <v>222175</v>
      </c>
      <c r="I205" s="2"/>
    </row>
    <row r="206" spans="1:9" s="48" customFormat="1" ht="15.75">
      <c r="A206" s="268" t="s">
        <v>172</v>
      </c>
      <c r="B206" s="30" t="s">
        <v>194</v>
      </c>
      <c r="C206" s="18" t="s">
        <v>187</v>
      </c>
      <c r="D206" s="30" t="s">
        <v>211</v>
      </c>
      <c r="E206" s="18" t="s">
        <v>86</v>
      </c>
      <c r="F206" s="30"/>
      <c r="G206" s="339">
        <f>'Прилож №3'!H270</f>
        <v>306646.1</v>
      </c>
      <c r="H206" s="38">
        <f>'Прилож №3'!I270</f>
        <v>222175</v>
      </c>
      <c r="I206" s="2"/>
    </row>
    <row r="207" spans="1:9" s="48" customFormat="1" ht="15.75">
      <c r="A207" s="269" t="s">
        <v>31</v>
      </c>
      <c r="B207" s="30" t="s">
        <v>194</v>
      </c>
      <c r="C207" s="18" t="s">
        <v>187</v>
      </c>
      <c r="D207" s="30" t="s">
        <v>32</v>
      </c>
      <c r="E207" s="18"/>
      <c r="F207" s="30"/>
      <c r="G207" s="339">
        <f>G208</f>
        <v>71715.50000000001</v>
      </c>
      <c r="H207" s="38">
        <f>H208</f>
        <v>0</v>
      </c>
      <c r="I207" s="2"/>
    </row>
    <row r="208" spans="1:9" s="48" customFormat="1" ht="15.75">
      <c r="A208" s="269" t="s">
        <v>27</v>
      </c>
      <c r="B208" s="30" t="s">
        <v>194</v>
      </c>
      <c r="C208" s="18" t="s">
        <v>187</v>
      </c>
      <c r="D208" s="30" t="s">
        <v>212</v>
      </c>
      <c r="E208" s="18"/>
      <c r="F208" s="30"/>
      <c r="G208" s="339">
        <f>G209</f>
        <v>71715.50000000001</v>
      </c>
      <c r="H208" s="38">
        <f>H209</f>
        <v>0</v>
      </c>
      <c r="I208" s="2"/>
    </row>
    <row r="209" spans="1:9" s="48" customFormat="1" ht="15.75">
      <c r="A209" s="268" t="s">
        <v>172</v>
      </c>
      <c r="B209" s="30" t="s">
        <v>194</v>
      </c>
      <c r="C209" s="18" t="s">
        <v>187</v>
      </c>
      <c r="D209" s="30" t="s">
        <v>212</v>
      </c>
      <c r="E209" s="18" t="s">
        <v>86</v>
      </c>
      <c r="F209" s="30"/>
      <c r="G209" s="339">
        <f>'Прилож №3'!H273+'Прилож №3'!H320+'Прилож №3'!H417+'Прилож №3'!H189</f>
        <v>71715.50000000001</v>
      </c>
      <c r="H209" s="38">
        <f>'Прилож №3'!I273+'Прилож №3'!I320+'Прилож №3'!I417</f>
        <v>0</v>
      </c>
      <c r="I209" s="2"/>
    </row>
    <row r="210" spans="1:9" s="48" customFormat="1" ht="15.75">
      <c r="A210" s="268" t="s">
        <v>125</v>
      </c>
      <c r="B210" s="30" t="s">
        <v>194</v>
      </c>
      <c r="C210" s="18" t="s">
        <v>187</v>
      </c>
      <c r="D210" s="30" t="s">
        <v>95</v>
      </c>
      <c r="E210" s="18"/>
      <c r="F210" s="30"/>
      <c r="G210" s="339">
        <f>G211+G213</f>
        <v>10847</v>
      </c>
      <c r="H210" s="38">
        <f>H211+H213</f>
        <v>10847</v>
      </c>
      <c r="I210" s="2"/>
    </row>
    <row r="211" spans="1:9" s="48" customFormat="1" ht="15.75">
      <c r="A211" s="268" t="s">
        <v>97</v>
      </c>
      <c r="B211" s="30" t="s">
        <v>194</v>
      </c>
      <c r="C211" s="18" t="s">
        <v>187</v>
      </c>
      <c r="D211" s="30" t="s">
        <v>213</v>
      </c>
      <c r="E211" s="18"/>
      <c r="F211" s="30"/>
      <c r="G211" s="339">
        <f>G212</f>
        <v>3712</v>
      </c>
      <c r="H211" s="38">
        <f>H212</f>
        <v>3712</v>
      </c>
      <c r="I211" s="2"/>
    </row>
    <row r="212" spans="1:9" s="48" customFormat="1" ht="15.75">
      <c r="A212" s="268" t="s">
        <v>172</v>
      </c>
      <c r="B212" s="30" t="s">
        <v>194</v>
      </c>
      <c r="C212" s="18" t="s">
        <v>187</v>
      </c>
      <c r="D212" s="30" t="s">
        <v>213</v>
      </c>
      <c r="E212" s="18" t="s">
        <v>86</v>
      </c>
      <c r="F212" s="30"/>
      <c r="G212" s="339">
        <f>'Прилож №3'!H276</f>
        <v>3712</v>
      </c>
      <c r="H212" s="38">
        <f>'Прилож №3'!I276</f>
        <v>3712</v>
      </c>
      <c r="I212" s="2"/>
    </row>
    <row r="213" spans="1:9" s="48" customFormat="1" ht="26.25">
      <c r="A213" s="374" t="s">
        <v>450</v>
      </c>
      <c r="B213" s="30" t="s">
        <v>194</v>
      </c>
      <c r="C213" s="18" t="s">
        <v>187</v>
      </c>
      <c r="D213" s="30" t="s">
        <v>411</v>
      </c>
      <c r="E213" s="18"/>
      <c r="F213" s="30"/>
      <c r="G213" s="339">
        <f>G217+G214</f>
        <v>7135</v>
      </c>
      <c r="H213" s="38">
        <f>H217+H214</f>
        <v>7135</v>
      </c>
      <c r="I213" s="2"/>
    </row>
    <row r="214" spans="1:9" s="48" customFormat="1" ht="26.25">
      <c r="A214" s="374" t="s">
        <v>452</v>
      </c>
      <c r="B214" s="30" t="s">
        <v>194</v>
      </c>
      <c r="C214" s="18" t="s">
        <v>187</v>
      </c>
      <c r="D214" s="30" t="s">
        <v>449</v>
      </c>
      <c r="E214" s="18"/>
      <c r="F214" s="30"/>
      <c r="G214" s="339">
        <f>G215</f>
        <v>4170</v>
      </c>
      <c r="H214" s="38">
        <f>H215</f>
        <v>4170</v>
      </c>
      <c r="I214" s="2"/>
    </row>
    <row r="215" spans="1:9" s="48" customFormat="1" ht="15.75">
      <c r="A215" s="268" t="s">
        <v>172</v>
      </c>
      <c r="B215" s="30" t="s">
        <v>194</v>
      </c>
      <c r="C215" s="18" t="s">
        <v>187</v>
      </c>
      <c r="D215" s="30" t="s">
        <v>449</v>
      </c>
      <c r="E215" s="18" t="s">
        <v>86</v>
      </c>
      <c r="F215" s="30"/>
      <c r="G215" s="339">
        <f>'Прилож №3'!H279</f>
        <v>4170</v>
      </c>
      <c r="H215" s="38">
        <f>'Прилож №3'!I279</f>
        <v>4170</v>
      </c>
      <c r="I215" s="2"/>
    </row>
    <row r="216" spans="1:9" s="48" customFormat="1" ht="26.25">
      <c r="A216" s="374" t="s">
        <v>456</v>
      </c>
      <c r="B216" s="30" t="s">
        <v>194</v>
      </c>
      <c r="C216" s="18" t="s">
        <v>187</v>
      </c>
      <c r="D216" s="30" t="s">
        <v>455</v>
      </c>
      <c r="E216" s="18"/>
      <c r="F216" s="30"/>
      <c r="G216" s="339">
        <f>G217</f>
        <v>2965</v>
      </c>
      <c r="H216" s="38">
        <f>H217</f>
        <v>2965</v>
      </c>
      <c r="I216" s="2"/>
    </row>
    <row r="217" spans="1:9" s="48" customFormat="1" ht="15.75">
      <c r="A217" s="268" t="s">
        <v>172</v>
      </c>
      <c r="B217" s="30" t="s">
        <v>194</v>
      </c>
      <c r="C217" s="18" t="s">
        <v>187</v>
      </c>
      <c r="D217" s="30" t="s">
        <v>455</v>
      </c>
      <c r="E217" s="18" t="s">
        <v>86</v>
      </c>
      <c r="F217" s="30"/>
      <c r="G217" s="339">
        <f>'Прилож №3'!H281</f>
        <v>2965</v>
      </c>
      <c r="H217" s="38">
        <f>'Прилож №3'!I281</f>
        <v>2965</v>
      </c>
      <c r="I217" s="2"/>
    </row>
    <row r="218" spans="1:9" s="48" customFormat="1" ht="15.75">
      <c r="A218" s="269" t="s">
        <v>29</v>
      </c>
      <c r="B218" s="30" t="s">
        <v>194</v>
      </c>
      <c r="C218" s="18" t="s">
        <v>194</v>
      </c>
      <c r="D218" s="30"/>
      <c r="E218" s="18"/>
      <c r="F218" s="30"/>
      <c r="G218" s="339">
        <f>G222+G219+G225</f>
        <v>7241.799999999999</v>
      </c>
      <c r="H218" s="38">
        <f>H222+H219</f>
        <v>0</v>
      </c>
      <c r="I218" s="2"/>
    </row>
    <row r="219" spans="1:9" s="48" customFormat="1" ht="15.75">
      <c r="A219" s="269" t="s">
        <v>92</v>
      </c>
      <c r="B219" s="30" t="s">
        <v>194</v>
      </c>
      <c r="C219" s="18" t="s">
        <v>194</v>
      </c>
      <c r="D219" s="30" t="s">
        <v>93</v>
      </c>
      <c r="E219" s="18"/>
      <c r="F219" s="30"/>
      <c r="G219" s="339">
        <f>G220</f>
        <v>3412.7</v>
      </c>
      <c r="H219" s="269">
        <f>H220</f>
        <v>0</v>
      </c>
      <c r="I219" s="2"/>
    </row>
    <row r="220" spans="1:9" s="48" customFormat="1" ht="15.75">
      <c r="A220" s="269" t="s">
        <v>94</v>
      </c>
      <c r="B220" s="30" t="s">
        <v>194</v>
      </c>
      <c r="C220" s="18" t="s">
        <v>194</v>
      </c>
      <c r="D220" s="30" t="s">
        <v>214</v>
      </c>
      <c r="E220" s="18"/>
      <c r="F220" s="30"/>
      <c r="G220" s="339">
        <f>G221</f>
        <v>3412.7</v>
      </c>
      <c r="H220" s="269">
        <f>H221</f>
        <v>0</v>
      </c>
      <c r="I220" s="2"/>
    </row>
    <row r="221" spans="1:9" s="48" customFormat="1" ht="15.75">
      <c r="A221" s="268" t="s">
        <v>172</v>
      </c>
      <c r="B221" s="30" t="s">
        <v>194</v>
      </c>
      <c r="C221" s="18" t="s">
        <v>194</v>
      </c>
      <c r="D221" s="30" t="s">
        <v>214</v>
      </c>
      <c r="E221" s="18" t="s">
        <v>86</v>
      </c>
      <c r="F221" s="30" t="s">
        <v>15</v>
      </c>
      <c r="G221" s="339">
        <f>'Прилож №3'!H421</f>
        <v>3412.7</v>
      </c>
      <c r="H221" s="269">
        <f>'Прилож №3'!I421</f>
        <v>0</v>
      </c>
      <c r="I221" s="2"/>
    </row>
    <row r="222" spans="1:9" s="48" customFormat="1" ht="15.75">
      <c r="A222" s="291" t="s">
        <v>215</v>
      </c>
      <c r="B222" s="30" t="s">
        <v>194</v>
      </c>
      <c r="C222" s="18" t="s">
        <v>194</v>
      </c>
      <c r="D222" s="30" t="s">
        <v>30</v>
      </c>
      <c r="E222" s="18"/>
      <c r="F222" s="30"/>
      <c r="G222" s="339">
        <f>G223</f>
        <v>3433.7</v>
      </c>
      <c r="H222" s="38">
        <f>H223</f>
        <v>0</v>
      </c>
      <c r="I222" s="2"/>
    </row>
    <row r="223" spans="1:9" s="48" customFormat="1" ht="15.75">
      <c r="A223" s="269" t="s">
        <v>216</v>
      </c>
      <c r="B223" s="30" t="s">
        <v>194</v>
      </c>
      <c r="C223" s="18" t="s">
        <v>194</v>
      </c>
      <c r="D223" s="30" t="s">
        <v>217</v>
      </c>
      <c r="E223" s="18"/>
      <c r="F223" s="30"/>
      <c r="G223" s="339">
        <f>G224</f>
        <v>3433.7</v>
      </c>
      <c r="H223" s="38">
        <f>H224</f>
        <v>0</v>
      </c>
      <c r="I223" s="2"/>
    </row>
    <row r="224" spans="1:9" s="48" customFormat="1" ht="15.75">
      <c r="A224" s="268" t="s">
        <v>172</v>
      </c>
      <c r="B224" s="30" t="s">
        <v>194</v>
      </c>
      <c r="C224" s="18" t="s">
        <v>194</v>
      </c>
      <c r="D224" s="30" t="s">
        <v>217</v>
      </c>
      <c r="E224" s="18" t="s">
        <v>86</v>
      </c>
      <c r="F224" s="30"/>
      <c r="G224" s="339">
        <f>'Прилож №3'!H285+'Прилож №3'!H424</f>
        <v>3433.7</v>
      </c>
      <c r="H224" s="38">
        <f>'Прилож №3'!I285+'Прилож №3'!I424</f>
        <v>0</v>
      </c>
      <c r="I224" s="2"/>
    </row>
    <row r="225" spans="1:9" s="48" customFormat="1" ht="15.75">
      <c r="A225" s="269" t="s">
        <v>131</v>
      </c>
      <c r="B225" s="152" t="s">
        <v>194</v>
      </c>
      <c r="C225" s="151" t="s">
        <v>194</v>
      </c>
      <c r="D225" s="152" t="s">
        <v>132</v>
      </c>
      <c r="E225" s="151"/>
      <c r="F225" s="152"/>
      <c r="G225" s="180">
        <f>G226</f>
        <v>395.4000000000001</v>
      </c>
      <c r="H225" s="154"/>
      <c r="I225" s="86"/>
    </row>
    <row r="226" spans="1:9" s="48" customFormat="1" ht="26.25">
      <c r="A226" s="291" t="s">
        <v>255</v>
      </c>
      <c r="B226" s="152" t="s">
        <v>194</v>
      </c>
      <c r="C226" s="151" t="s">
        <v>194</v>
      </c>
      <c r="D226" s="152" t="s">
        <v>221</v>
      </c>
      <c r="E226" s="151"/>
      <c r="F226" s="152"/>
      <c r="G226" s="180">
        <f>G227</f>
        <v>395.4000000000001</v>
      </c>
      <c r="H226" s="154"/>
      <c r="I226" s="86"/>
    </row>
    <row r="227" spans="1:9" s="48" customFormat="1" ht="15.75">
      <c r="A227" s="325" t="s">
        <v>146</v>
      </c>
      <c r="B227" s="152" t="s">
        <v>194</v>
      </c>
      <c r="C227" s="151" t="s">
        <v>194</v>
      </c>
      <c r="D227" s="152" t="s">
        <v>221</v>
      </c>
      <c r="E227" s="151" t="s">
        <v>278</v>
      </c>
      <c r="F227" s="152"/>
      <c r="G227" s="180">
        <f>'Прилож №3'!H427</f>
        <v>395.4000000000001</v>
      </c>
      <c r="H227" s="154"/>
      <c r="I227" s="86"/>
    </row>
    <row r="228" spans="1:9" s="48" customFormat="1" ht="15.75">
      <c r="A228" s="362" t="s">
        <v>33</v>
      </c>
      <c r="B228" s="156" t="s">
        <v>194</v>
      </c>
      <c r="C228" s="155" t="s">
        <v>192</v>
      </c>
      <c r="D228" s="156"/>
      <c r="E228" s="155"/>
      <c r="F228" s="156"/>
      <c r="G228" s="179">
        <f>G229+G241+G244+G232</f>
        <v>38775.3</v>
      </c>
      <c r="H228" s="158">
        <f>H229+H241+H244+H232</f>
        <v>9644.5</v>
      </c>
      <c r="I228" s="86"/>
    </row>
    <row r="229" spans="1:9" s="48" customFormat="1" ht="15.75">
      <c r="A229" s="355" t="s">
        <v>147</v>
      </c>
      <c r="B229" s="152" t="s">
        <v>194</v>
      </c>
      <c r="C229" s="151" t="s">
        <v>192</v>
      </c>
      <c r="D229" s="152" t="s">
        <v>277</v>
      </c>
      <c r="E229" s="151"/>
      <c r="F229" s="152"/>
      <c r="G229" s="180">
        <f>G230</f>
        <v>9267.5</v>
      </c>
      <c r="H229" s="154">
        <f>H230</f>
        <v>0</v>
      </c>
      <c r="I229" s="86"/>
    </row>
    <row r="230" spans="1:9" s="48" customFormat="1" ht="15.75">
      <c r="A230" s="357" t="s">
        <v>50</v>
      </c>
      <c r="B230" s="152" t="s">
        <v>194</v>
      </c>
      <c r="C230" s="151" t="s">
        <v>192</v>
      </c>
      <c r="D230" s="152" t="s">
        <v>279</v>
      </c>
      <c r="E230" s="151"/>
      <c r="F230" s="152"/>
      <c r="G230" s="180">
        <f>G231</f>
        <v>9267.5</v>
      </c>
      <c r="H230" s="154">
        <f>H231</f>
        <v>0</v>
      </c>
      <c r="I230" s="86"/>
    </row>
    <row r="231" spans="1:9" s="48" customFormat="1" ht="15.75">
      <c r="A231" s="357" t="s">
        <v>146</v>
      </c>
      <c r="B231" s="152" t="s">
        <v>194</v>
      </c>
      <c r="C231" s="151" t="s">
        <v>192</v>
      </c>
      <c r="D231" s="152" t="s">
        <v>279</v>
      </c>
      <c r="E231" s="151" t="s">
        <v>278</v>
      </c>
      <c r="F231" s="152"/>
      <c r="G231" s="180">
        <f>'Прилож №3'!H289</f>
        <v>9267.5</v>
      </c>
      <c r="H231" s="154">
        <f>'Прилож №3'!I289</f>
        <v>0</v>
      </c>
      <c r="I231" s="86"/>
    </row>
    <row r="232" spans="1:9" s="48" customFormat="1" ht="15.75">
      <c r="A232" s="363" t="s">
        <v>270</v>
      </c>
      <c r="B232" s="152" t="s">
        <v>194</v>
      </c>
      <c r="C232" s="151" t="s">
        <v>192</v>
      </c>
      <c r="D232" s="152" t="s">
        <v>271</v>
      </c>
      <c r="E232" s="151"/>
      <c r="F232" s="153"/>
      <c r="G232" s="176">
        <f>G233+G235+G237+G239</f>
        <v>8931</v>
      </c>
      <c r="H232" s="154">
        <f>H233+H235+H237+H239</f>
        <v>8931</v>
      </c>
      <c r="I232" s="86"/>
    </row>
    <row r="233" spans="1:9" s="48" customFormat="1" ht="15.75">
      <c r="A233" s="363" t="s">
        <v>273</v>
      </c>
      <c r="B233" s="152" t="s">
        <v>194</v>
      </c>
      <c r="C233" s="151" t="s">
        <v>192</v>
      </c>
      <c r="D233" s="152" t="s">
        <v>272</v>
      </c>
      <c r="E233" s="151"/>
      <c r="F233" s="153"/>
      <c r="G233" s="176">
        <f>G234</f>
        <v>8584</v>
      </c>
      <c r="H233" s="154">
        <f>H234</f>
        <v>8584</v>
      </c>
      <c r="I233" s="86"/>
    </row>
    <row r="234" spans="1:9" s="48" customFormat="1" ht="15.75">
      <c r="A234" s="363" t="s">
        <v>274</v>
      </c>
      <c r="B234" s="152" t="s">
        <v>194</v>
      </c>
      <c r="C234" s="151" t="s">
        <v>192</v>
      </c>
      <c r="D234" s="152" t="s">
        <v>272</v>
      </c>
      <c r="E234" s="151" t="s">
        <v>275</v>
      </c>
      <c r="F234" s="153"/>
      <c r="G234" s="176">
        <f>'Прилож №3'!H292</f>
        <v>8584</v>
      </c>
      <c r="H234" s="154">
        <f>'Прилож №3'!I292</f>
        <v>8584</v>
      </c>
      <c r="I234" s="86"/>
    </row>
    <row r="235" spans="1:9" s="48" customFormat="1" ht="15.75">
      <c r="A235" s="363" t="s">
        <v>404</v>
      </c>
      <c r="B235" s="152" t="s">
        <v>194</v>
      </c>
      <c r="C235" s="151" t="s">
        <v>192</v>
      </c>
      <c r="D235" s="152" t="s">
        <v>406</v>
      </c>
      <c r="E235" s="151"/>
      <c r="F235" s="152"/>
      <c r="G235" s="176">
        <f>G236</f>
        <v>0</v>
      </c>
      <c r="H235" s="154"/>
      <c r="I235" s="86"/>
    </row>
    <row r="236" spans="1:9" s="48" customFormat="1" ht="15.75">
      <c r="A236" s="363" t="s">
        <v>172</v>
      </c>
      <c r="B236" s="152" t="s">
        <v>194</v>
      </c>
      <c r="C236" s="151" t="s">
        <v>192</v>
      </c>
      <c r="D236" s="152" t="s">
        <v>406</v>
      </c>
      <c r="E236" s="151" t="s">
        <v>86</v>
      </c>
      <c r="F236" s="152"/>
      <c r="G236" s="176">
        <f>'Прилож №3'!H294</f>
        <v>0</v>
      </c>
      <c r="H236" s="154"/>
      <c r="I236" s="86"/>
    </row>
    <row r="237" spans="1:9" s="48" customFormat="1" ht="15.75">
      <c r="A237" s="363" t="s">
        <v>407</v>
      </c>
      <c r="B237" s="152" t="s">
        <v>194</v>
      </c>
      <c r="C237" s="151" t="s">
        <v>192</v>
      </c>
      <c r="D237" s="152" t="s">
        <v>408</v>
      </c>
      <c r="E237" s="151"/>
      <c r="F237" s="152"/>
      <c r="G237" s="176">
        <f>G238</f>
        <v>347</v>
      </c>
      <c r="H237" s="154">
        <f>H238</f>
        <v>347</v>
      </c>
      <c r="I237" s="86"/>
    </row>
    <row r="238" spans="1:9" s="48" customFormat="1" ht="15.75">
      <c r="A238" s="363" t="s">
        <v>172</v>
      </c>
      <c r="B238" s="152" t="s">
        <v>194</v>
      </c>
      <c r="C238" s="151" t="s">
        <v>192</v>
      </c>
      <c r="D238" s="152" t="s">
        <v>408</v>
      </c>
      <c r="E238" s="151" t="s">
        <v>86</v>
      </c>
      <c r="F238" s="152"/>
      <c r="G238" s="176">
        <f>'Прилож №3'!H296</f>
        <v>347</v>
      </c>
      <c r="H238" s="154">
        <f>'Прилож №3'!I296</f>
        <v>347</v>
      </c>
      <c r="I238" s="86"/>
    </row>
    <row r="239" spans="1:9" s="48" customFormat="1" ht="15" customHeight="1">
      <c r="A239" s="370" t="s">
        <v>409</v>
      </c>
      <c r="B239" s="152" t="s">
        <v>194</v>
      </c>
      <c r="C239" s="151" t="s">
        <v>192</v>
      </c>
      <c r="D239" s="152" t="s">
        <v>410</v>
      </c>
      <c r="E239" s="151"/>
      <c r="F239" s="152"/>
      <c r="G239" s="176">
        <f>G240</f>
        <v>0</v>
      </c>
      <c r="H239" s="154"/>
      <c r="I239" s="86"/>
    </row>
    <row r="240" spans="1:9" s="48" customFormat="1" ht="15.75">
      <c r="A240" s="363" t="s">
        <v>172</v>
      </c>
      <c r="B240" s="152" t="s">
        <v>194</v>
      </c>
      <c r="C240" s="151" t="s">
        <v>192</v>
      </c>
      <c r="D240" s="152" t="s">
        <v>410</v>
      </c>
      <c r="E240" s="151" t="s">
        <v>86</v>
      </c>
      <c r="F240" s="152"/>
      <c r="G240" s="178">
        <f>'Прилож №3'!H298</f>
        <v>0</v>
      </c>
      <c r="H240" s="154"/>
      <c r="I240" s="86"/>
    </row>
    <row r="241" spans="1:9" s="48" customFormat="1" ht="43.5" customHeight="1">
      <c r="A241" s="370" t="s">
        <v>111</v>
      </c>
      <c r="B241" s="152" t="s">
        <v>194</v>
      </c>
      <c r="C241" s="151" t="s">
        <v>192</v>
      </c>
      <c r="D241" s="152" t="s">
        <v>40</v>
      </c>
      <c r="E241" s="151"/>
      <c r="F241" s="152"/>
      <c r="G241" s="180">
        <f>G242</f>
        <v>10247.400000000001</v>
      </c>
      <c r="H241" s="154">
        <f>H242</f>
        <v>713.5</v>
      </c>
      <c r="I241" s="86"/>
    </row>
    <row r="242" spans="1:9" s="48" customFormat="1" ht="15.75">
      <c r="A242" s="190" t="s">
        <v>27</v>
      </c>
      <c r="B242" s="152" t="s">
        <v>194</v>
      </c>
      <c r="C242" s="151" t="s">
        <v>192</v>
      </c>
      <c r="D242" s="152" t="s">
        <v>218</v>
      </c>
      <c r="E242" s="151"/>
      <c r="F242" s="152"/>
      <c r="G242" s="180">
        <f>G243</f>
        <v>10247.400000000001</v>
      </c>
      <c r="H242" s="154">
        <f>H243</f>
        <v>713.5</v>
      </c>
      <c r="I242" s="86"/>
    </row>
    <row r="243" spans="1:9" s="48" customFormat="1" ht="15.75">
      <c r="A243" s="363" t="s">
        <v>172</v>
      </c>
      <c r="B243" s="152" t="s">
        <v>194</v>
      </c>
      <c r="C243" s="151" t="s">
        <v>192</v>
      </c>
      <c r="D243" s="152" t="s">
        <v>218</v>
      </c>
      <c r="E243" s="151" t="s">
        <v>86</v>
      </c>
      <c r="F243" s="152"/>
      <c r="G243" s="180">
        <f>'Прилож №3'!H301</f>
        <v>10247.400000000001</v>
      </c>
      <c r="H243" s="154">
        <f>'Прилож №3'!I301</f>
        <v>713.5</v>
      </c>
      <c r="I243" s="86"/>
    </row>
    <row r="244" spans="1:9" s="48" customFormat="1" ht="15.75">
      <c r="A244" s="190" t="s">
        <v>131</v>
      </c>
      <c r="B244" s="172" t="s">
        <v>194</v>
      </c>
      <c r="C244" s="171" t="s">
        <v>192</v>
      </c>
      <c r="D244" s="172" t="s">
        <v>132</v>
      </c>
      <c r="E244" s="171"/>
      <c r="F244" s="172"/>
      <c r="G244" s="184">
        <f>G245</f>
        <v>10329.4</v>
      </c>
      <c r="H244" s="173">
        <f>H245</f>
        <v>0</v>
      </c>
      <c r="I244" s="86"/>
    </row>
    <row r="245" spans="1:9" s="48" customFormat="1" ht="30.75" thickBot="1">
      <c r="A245" s="355" t="s">
        <v>219</v>
      </c>
      <c r="B245" s="191" t="s">
        <v>194</v>
      </c>
      <c r="C245" s="192" t="s">
        <v>192</v>
      </c>
      <c r="D245" s="191" t="s">
        <v>220</v>
      </c>
      <c r="E245" s="192"/>
      <c r="F245" s="191"/>
      <c r="G245" s="229">
        <f>G246</f>
        <v>10329.4</v>
      </c>
      <c r="H245" s="193">
        <f>H246</f>
        <v>0</v>
      </c>
      <c r="I245" s="86"/>
    </row>
    <row r="246" spans="1:9" s="48" customFormat="1" ht="16.5" thickBot="1">
      <c r="A246" s="325" t="s">
        <v>146</v>
      </c>
      <c r="B246" s="191" t="s">
        <v>194</v>
      </c>
      <c r="C246" s="192" t="s">
        <v>192</v>
      </c>
      <c r="D246" s="191" t="s">
        <v>220</v>
      </c>
      <c r="E246" s="192" t="s">
        <v>278</v>
      </c>
      <c r="F246" s="191"/>
      <c r="G246" s="229">
        <f>'Прилож №3'!H304</f>
        <v>10329.4</v>
      </c>
      <c r="H246" s="193">
        <f>'Прилож №3'!I304</f>
        <v>0</v>
      </c>
      <c r="I246" s="86"/>
    </row>
    <row r="247" spans="1:9" s="48" customFormat="1" ht="16.5" thickBot="1">
      <c r="A247" s="375" t="s">
        <v>116</v>
      </c>
      <c r="B247" s="164" t="s">
        <v>195</v>
      </c>
      <c r="C247" s="163" t="s">
        <v>126</v>
      </c>
      <c r="D247" s="164"/>
      <c r="E247" s="163"/>
      <c r="F247" s="182"/>
      <c r="G247" s="175">
        <f>G248+G269</f>
        <v>84730.79999999999</v>
      </c>
      <c r="H247" s="165">
        <f>H248+H269</f>
        <v>3452</v>
      </c>
      <c r="I247" s="86"/>
    </row>
    <row r="248" spans="1:9" s="48" customFormat="1" ht="15.75">
      <c r="A248" s="368" t="s">
        <v>34</v>
      </c>
      <c r="B248" s="149" t="s">
        <v>195</v>
      </c>
      <c r="C248" s="187" t="s">
        <v>186</v>
      </c>
      <c r="D248" s="149"/>
      <c r="E248" s="187"/>
      <c r="F248" s="149" t="s">
        <v>10</v>
      </c>
      <c r="G248" s="197">
        <f>G249+G252+G255+G258+G261+G266</f>
        <v>79423.29999999999</v>
      </c>
      <c r="H248" s="188">
        <f>H249+H252+H255+H258+H261+H266</f>
        <v>3452</v>
      </c>
      <c r="I248" s="86"/>
    </row>
    <row r="249" spans="1:9" s="48" customFormat="1" ht="30">
      <c r="A249" s="355" t="s">
        <v>119</v>
      </c>
      <c r="B249" s="152" t="s">
        <v>195</v>
      </c>
      <c r="C249" s="151" t="s">
        <v>186</v>
      </c>
      <c r="D249" s="152" t="s">
        <v>35</v>
      </c>
      <c r="E249" s="151"/>
      <c r="F249" s="152" t="s">
        <v>11</v>
      </c>
      <c r="G249" s="180">
        <f>G250</f>
        <v>39107.8</v>
      </c>
      <c r="H249" s="154">
        <f>H250</f>
        <v>3200</v>
      </c>
      <c r="I249" s="86"/>
    </row>
    <row r="250" spans="1:9" s="48" customFormat="1" ht="15.75">
      <c r="A250" s="363" t="s">
        <v>27</v>
      </c>
      <c r="B250" s="152" t="s">
        <v>195</v>
      </c>
      <c r="C250" s="151" t="s">
        <v>186</v>
      </c>
      <c r="D250" s="152" t="s">
        <v>222</v>
      </c>
      <c r="E250" s="151"/>
      <c r="F250" s="152"/>
      <c r="G250" s="180">
        <f>G251</f>
        <v>39107.8</v>
      </c>
      <c r="H250" s="154">
        <f>H251</f>
        <v>3200</v>
      </c>
      <c r="I250" s="86"/>
    </row>
    <row r="251" spans="1:9" s="48" customFormat="1" ht="15.75">
      <c r="A251" s="190" t="s">
        <v>172</v>
      </c>
      <c r="B251" s="152" t="s">
        <v>195</v>
      </c>
      <c r="C251" s="151" t="s">
        <v>186</v>
      </c>
      <c r="D251" s="152" t="s">
        <v>222</v>
      </c>
      <c r="E251" s="151" t="s">
        <v>86</v>
      </c>
      <c r="F251" s="152"/>
      <c r="G251" s="180">
        <f>'Прилож №3'!H325</f>
        <v>39107.8</v>
      </c>
      <c r="H251" s="154">
        <f>'Прилож №3'!I325</f>
        <v>3200</v>
      </c>
      <c r="I251" s="86"/>
    </row>
    <row r="252" spans="1:9" s="48" customFormat="1" ht="15.75">
      <c r="A252" s="190" t="s">
        <v>13</v>
      </c>
      <c r="B252" s="152" t="s">
        <v>195</v>
      </c>
      <c r="C252" s="151" t="s">
        <v>186</v>
      </c>
      <c r="D252" s="152" t="s">
        <v>36</v>
      </c>
      <c r="E252" s="151"/>
      <c r="F252" s="152"/>
      <c r="G252" s="180">
        <f>G253</f>
        <v>3313.6000000000004</v>
      </c>
      <c r="H252" s="154">
        <f>H253</f>
        <v>0</v>
      </c>
      <c r="I252" s="86"/>
    </row>
    <row r="253" spans="1:9" s="48" customFormat="1" ht="15.75">
      <c r="A253" s="363" t="s">
        <v>27</v>
      </c>
      <c r="B253" s="152" t="s">
        <v>195</v>
      </c>
      <c r="C253" s="151" t="s">
        <v>186</v>
      </c>
      <c r="D253" s="152" t="s">
        <v>223</v>
      </c>
      <c r="E253" s="151"/>
      <c r="F253" s="152"/>
      <c r="G253" s="180">
        <f>G254</f>
        <v>3313.6000000000004</v>
      </c>
      <c r="H253" s="154">
        <f>H254</f>
        <v>0</v>
      </c>
      <c r="I253" s="86"/>
    </row>
    <row r="254" spans="1:9" s="48" customFormat="1" ht="15.75">
      <c r="A254" s="190" t="s">
        <v>172</v>
      </c>
      <c r="B254" s="152" t="s">
        <v>195</v>
      </c>
      <c r="C254" s="151" t="s">
        <v>186</v>
      </c>
      <c r="D254" s="152" t="s">
        <v>223</v>
      </c>
      <c r="E254" s="151" t="s">
        <v>86</v>
      </c>
      <c r="F254" s="152"/>
      <c r="G254" s="180">
        <f>'Прилож №3'!H328</f>
        <v>3313.6000000000004</v>
      </c>
      <c r="H254" s="154">
        <f>'Прилож №3'!I328</f>
        <v>0</v>
      </c>
      <c r="I254" s="86"/>
    </row>
    <row r="255" spans="1:9" s="48" customFormat="1" ht="15.75">
      <c r="A255" s="190" t="s">
        <v>14</v>
      </c>
      <c r="B255" s="152" t="s">
        <v>195</v>
      </c>
      <c r="C255" s="151" t="s">
        <v>186</v>
      </c>
      <c r="D255" s="152" t="s">
        <v>37</v>
      </c>
      <c r="E255" s="151"/>
      <c r="F255" s="152"/>
      <c r="G255" s="180">
        <f>G256</f>
        <v>10969.400000000001</v>
      </c>
      <c r="H255" s="154">
        <f>H256</f>
        <v>0</v>
      </c>
      <c r="I255" s="86"/>
    </row>
    <row r="256" spans="1:9" s="48" customFormat="1" ht="15.75">
      <c r="A256" s="363" t="s">
        <v>27</v>
      </c>
      <c r="B256" s="152" t="s">
        <v>195</v>
      </c>
      <c r="C256" s="151" t="s">
        <v>186</v>
      </c>
      <c r="D256" s="152" t="s">
        <v>224</v>
      </c>
      <c r="E256" s="151"/>
      <c r="F256" s="152"/>
      <c r="G256" s="180">
        <f>G257</f>
        <v>10969.400000000001</v>
      </c>
      <c r="H256" s="154">
        <f>H257</f>
        <v>0</v>
      </c>
      <c r="I256" s="86"/>
    </row>
    <row r="257" spans="1:9" s="48" customFormat="1" ht="15.75">
      <c r="A257" s="190" t="s">
        <v>172</v>
      </c>
      <c r="B257" s="152" t="s">
        <v>195</v>
      </c>
      <c r="C257" s="151" t="s">
        <v>186</v>
      </c>
      <c r="D257" s="152" t="s">
        <v>224</v>
      </c>
      <c r="E257" s="151" t="s">
        <v>86</v>
      </c>
      <c r="F257" s="152"/>
      <c r="G257" s="180">
        <f>'Прилож №3'!H331</f>
        <v>10969.400000000001</v>
      </c>
      <c r="H257" s="154">
        <f>'Прилож №3'!I331</f>
        <v>0</v>
      </c>
      <c r="I257" s="86"/>
    </row>
    <row r="258" spans="1:9" s="48" customFormat="1" ht="30">
      <c r="A258" s="355" t="s">
        <v>112</v>
      </c>
      <c r="B258" s="152" t="s">
        <v>195</v>
      </c>
      <c r="C258" s="151" t="s">
        <v>186</v>
      </c>
      <c r="D258" s="152" t="s">
        <v>38</v>
      </c>
      <c r="E258" s="151"/>
      <c r="F258" s="152"/>
      <c r="G258" s="180">
        <f>G259</f>
        <v>23461.2</v>
      </c>
      <c r="H258" s="154">
        <f>H259</f>
        <v>0</v>
      </c>
      <c r="I258" s="86"/>
    </row>
    <row r="259" spans="1:9" s="48" customFormat="1" ht="15.75">
      <c r="A259" s="363" t="s">
        <v>27</v>
      </c>
      <c r="B259" s="152" t="s">
        <v>195</v>
      </c>
      <c r="C259" s="151" t="s">
        <v>186</v>
      </c>
      <c r="D259" s="152" t="s">
        <v>225</v>
      </c>
      <c r="E259" s="151"/>
      <c r="F259" s="152"/>
      <c r="G259" s="180">
        <f>G260</f>
        <v>23461.2</v>
      </c>
      <c r="H259" s="154">
        <f>H260</f>
        <v>0</v>
      </c>
      <c r="I259" s="86"/>
    </row>
    <row r="260" spans="1:9" s="48" customFormat="1" ht="15.75">
      <c r="A260" s="190" t="s">
        <v>172</v>
      </c>
      <c r="B260" s="152" t="s">
        <v>195</v>
      </c>
      <c r="C260" s="151" t="s">
        <v>186</v>
      </c>
      <c r="D260" s="161" t="s">
        <v>225</v>
      </c>
      <c r="E260" s="151" t="s">
        <v>86</v>
      </c>
      <c r="F260" s="161"/>
      <c r="G260" s="180">
        <f>'Прилож №3'!H334</f>
        <v>23461.2</v>
      </c>
      <c r="H260" s="154">
        <f>'Прилож №3'!I334</f>
        <v>0</v>
      </c>
      <c r="I260" s="86"/>
    </row>
    <row r="261" spans="1:9" s="48" customFormat="1" ht="30">
      <c r="A261" s="355" t="s">
        <v>100</v>
      </c>
      <c r="B261" s="152" t="s">
        <v>195</v>
      </c>
      <c r="C261" s="151" t="s">
        <v>186</v>
      </c>
      <c r="D261" s="161" t="s">
        <v>39</v>
      </c>
      <c r="E261" s="151"/>
      <c r="F261" s="161" t="s">
        <v>12</v>
      </c>
      <c r="G261" s="180">
        <f>G264+G262</f>
        <v>254.9</v>
      </c>
      <c r="H261" s="154">
        <f>H264+H262</f>
        <v>252</v>
      </c>
      <c r="I261" s="86"/>
    </row>
    <row r="262" spans="1:9" s="48" customFormat="1" ht="15.75">
      <c r="A262" s="121" t="s">
        <v>458</v>
      </c>
      <c r="B262" s="152" t="s">
        <v>195</v>
      </c>
      <c r="C262" s="151" t="s">
        <v>186</v>
      </c>
      <c r="D262" s="161" t="s">
        <v>459</v>
      </c>
      <c r="E262" s="160"/>
      <c r="F262" s="161"/>
      <c r="G262" s="180">
        <f>G263</f>
        <v>252</v>
      </c>
      <c r="H262" s="154">
        <f>H263</f>
        <v>252</v>
      </c>
      <c r="I262" s="86"/>
    </row>
    <row r="263" spans="1:9" s="48" customFormat="1" ht="15.75">
      <c r="A263" s="8" t="s">
        <v>172</v>
      </c>
      <c r="B263" s="152" t="s">
        <v>195</v>
      </c>
      <c r="C263" s="151" t="s">
        <v>186</v>
      </c>
      <c r="D263" s="161" t="s">
        <v>459</v>
      </c>
      <c r="E263" s="160" t="s">
        <v>86</v>
      </c>
      <c r="F263" s="161"/>
      <c r="G263" s="180">
        <f>'Прилож №3'!H336</f>
        <v>252</v>
      </c>
      <c r="H263" s="154">
        <f>'Прилож №3'!I336</f>
        <v>252</v>
      </c>
      <c r="I263" s="86"/>
    </row>
    <row r="264" spans="1:9" s="48" customFormat="1" ht="30">
      <c r="A264" s="370" t="s">
        <v>101</v>
      </c>
      <c r="B264" s="152" t="s">
        <v>195</v>
      </c>
      <c r="C264" s="151" t="s">
        <v>186</v>
      </c>
      <c r="D264" s="161" t="s">
        <v>226</v>
      </c>
      <c r="E264" s="160"/>
      <c r="F264" s="161"/>
      <c r="G264" s="180">
        <f>G265</f>
        <v>2.9</v>
      </c>
      <c r="H264" s="154">
        <f>H265</f>
        <v>0</v>
      </c>
      <c r="I264" s="86"/>
    </row>
    <row r="265" spans="1:9" s="48" customFormat="1" ht="15.75">
      <c r="A265" s="190" t="s">
        <v>172</v>
      </c>
      <c r="B265" s="152" t="s">
        <v>195</v>
      </c>
      <c r="C265" s="151" t="s">
        <v>186</v>
      </c>
      <c r="D265" s="161" t="s">
        <v>226</v>
      </c>
      <c r="E265" s="160" t="s">
        <v>86</v>
      </c>
      <c r="F265" s="161"/>
      <c r="G265" s="180">
        <f>'Прилож №3'!H408+'Прилож №3'!H194</f>
        <v>2.9</v>
      </c>
      <c r="H265" s="154">
        <f>'Прилож №3'!I408+'Прилож №3'!I194</f>
        <v>0</v>
      </c>
      <c r="I265" s="86"/>
    </row>
    <row r="266" spans="1:9" s="48" customFormat="1" ht="15.75">
      <c r="A266" s="190" t="s">
        <v>131</v>
      </c>
      <c r="B266" s="152" t="s">
        <v>195</v>
      </c>
      <c r="C266" s="160" t="s">
        <v>186</v>
      </c>
      <c r="D266" s="161" t="s">
        <v>132</v>
      </c>
      <c r="E266" s="160"/>
      <c r="F266" s="161"/>
      <c r="G266" s="180">
        <f>G267</f>
        <v>2316.3999999999996</v>
      </c>
      <c r="H266" s="154">
        <f>H267</f>
        <v>0</v>
      </c>
      <c r="I266" s="86"/>
    </row>
    <row r="267" spans="1:9" s="48" customFormat="1" ht="30">
      <c r="A267" s="355" t="s">
        <v>253</v>
      </c>
      <c r="B267" s="152" t="s">
        <v>195</v>
      </c>
      <c r="C267" s="160" t="s">
        <v>186</v>
      </c>
      <c r="D267" s="161" t="s">
        <v>252</v>
      </c>
      <c r="E267" s="160"/>
      <c r="F267" s="161"/>
      <c r="G267" s="180">
        <f>G268</f>
        <v>2316.3999999999996</v>
      </c>
      <c r="H267" s="154">
        <f>H268</f>
        <v>0</v>
      </c>
      <c r="I267" s="86"/>
    </row>
    <row r="268" spans="1:9" s="48" customFormat="1" ht="30">
      <c r="A268" s="355" t="s">
        <v>346</v>
      </c>
      <c r="B268" s="152" t="s">
        <v>195</v>
      </c>
      <c r="C268" s="160" t="s">
        <v>186</v>
      </c>
      <c r="D268" s="161" t="s">
        <v>252</v>
      </c>
      <c r="E268" s="160" t="s">
        <v>347</v>
      </c>
      <c r="F268" s="161"/>
      <c r="G268" s="180">
        <f>'Прилож №3'!H340+'Прилож №3'!H197+'Прилож №3'!H411</f>
        <v>2316.3999999999996</v>
      </c>
      <c r="H268" s="154"/>
      <c r="I268" s="86"/>
    </row>
    <row r="269" spans="1:9" s="48" customFormat="1" ht="29.25">
      <c r="A269" s="360" t="s">
        <v>113</v>
      </c>
      <c r="B269" s="189" t="s">
        <v>195</v>
      </c>
      <c r="C269" s="174" t="s">
        <v>205</v>
      </c>
      <c r="D269" s="189" t="s">
        <v>47</v>
      </c>
      <c r="E269" s="174" t="s">
        <v>49</v>
      </c>
      <c r="F269" s="189"/>
      <c r="G269" s="230">
        <f>G270+G273</f>
        <v>5307.5</v>
      </c>
      <c r="H269" s="194">
        <f>H270+H273</f>
        <v>0</v>
      </c>
      <c r="I269" s="86"/>
    </row>
    <row r="270" spans="1:9" s="48" customFormat="1" ht="18" customHeight="1">
      <c r="A270" s="355" t="s">
        <v>147</v>
      </c>
      <c r="B270" s="152" t="s">
        <v>195</v>
      </c>
      <c r="C270" s="151" t="s">
        <v>205</v>
      </c>
      <c r="D270" s="152" t="s">
        <v>277</v>
      </c>
      <c r="E270" s="151"/>
      <c r="F270" s="161"/>
      <c r="G270" s="181">
        <f>G271</f>
        <v>3260.6</v>
      </c>
      <c r="H270" s="162">
        <f>H271</f>
        <v>0</v>
      </c>
      <c r="I270" s="86"/>
    </row>
    <row r="271" spans="1:9" s="48" customFormat="1" ht="15.75">
      <c r="A271" s="357" t="s">
        <v>50</v>
      </c>
      <c r="B271" s="152" t="s">
        <v>195</v>
      </c>
      <c r="C271" s="151" t="s">
        <v>205</v>
      </c>
      <c r="D271" s="152" t="s">
        <v>279</v>
      </c>
      <c r="E271" s="151"/>
      <c r="F271" s="161"/>
      <c r="G271" s="181">
        <f>G272</f>
        <v>3260.6</v>
      </c>
      <c r="H271" s="162">
        <f>H272</f>
        <v>0</v>
      </c>
      <c r="I271" s="86"/>
    </row>
    <row r="272" spans="1:9" s="48" customFormat="1" ht="15.75">
      <c r="A272" s="357" t="s">
        <v>146</v>
      </c>
      <c r="B272" s="152" t="s">
        <v>195</v>
      </c>
      <c r="C272" s="151" t="s">
        <v>205</v>
      </c>
      <c r="D272" s="152" t="s">
        <v>279</v>
      </c>
      <c r="E272" s="151" t="s">
        <v>278</v>
      </c>
      <c r="F272" s="161"/>
      <c r="G272" s="181">
        <f>'Прилож №3'!H344</f>
        <v>3260.6</v>
      </c>
      <c r="H272" s="162">
        <f>'Прилож №3'!I344</f>
        <v>0</v>
      </c>
      <c r="I272" s="86"/>
    </row>
    <row r="273" spans="1:9" s="48" customFormat="1" ht="45" customHeight="1">
      <c r="A273" s="370" t="s">
        <v>111</v>
      </c>
      <c r="B273" s="152" t="s">
        <v>195</v>
      </c>
      <c r="C273" s="151" t="s">
        <v>205</v>
      </c>
      <c r="D273" s="152" t="s">
        <v>40</v>
      </c>
      <c r="E273" s="151"/>
      <c r="F273" s="152"/>
      <c r="G273" s="180">
        <f>G274</f>
        <v>2046.9</v>
      </c>
      <c r="H273" s="154">
        <f>H274</f>
        <v>0</v>
      </c>
      <c r="I273" s="86"/>
    </row>
    <row r="274" spans="1:9" s="48" customFormat="1" ht="15.75">
      <c r="A274" s="190" t="s">
        <v>27</v>
      </c>
      <c r="B274" s="152" t="s">
        <v>195</v>
      </c>
      <c r="C274" s="151" t="s">
        <v>205</v>
      </c>
      <c r="D274" s="152" t="s">
        <v>218</v>
      </c>
      <c r="E274" s="151"/>
      <c r="F274" s="152"/>
      <c r="G274" s="180">
        <f>G275</f>
        <v>2046.9</v>
      </c>
      <c r="H274" s="154">
        <f>H275</f>
        <v>0</v>
      </c>
      <c r="I274" s="86"/>
    </row>
    <row r="275" spans="1:9" s="48" customFormat="1" ht="16.5" thickBot="1">
      <c r="A275" s="363" t="s">
        <v>172</v>
      </c>
      <c r="B275" s="152" t="s">
        <v>195</v>
      </c>
      <c r="C275" s="151" t="s">
        <v>205</v>
      </c>
      <c r="D275" s="152" t="s">
        <v>218</v>
      </c>
      <c r="E275" s="151" t="s">
        <v>86</v>
      </c>
      <c r="F275" s="152"/>
      <c r="G275" s="180">
        <f>'Прилож №3'!H347</f>
        <v>2046.9</v>
      </c>
      <c r="H275" s="326">
        <f>'Прилож №3'!I347</f>
        <v>0</v>
      </c>
      <c r="I275" s="86"/>
    </row>
    <row r="276" spans="1:9" s="48" customFormat="1" ht="16.5" thickBot="1">
      <c r="A276" s="371" t="s">
        <v>227</v>
      </c>
      <c r="B276" s="164" t="s">
        <v>192</v>
      </c>
      <c r="C276" s="163" t="s">
        <v>126</v>
      </c>
      <c r="D276" s="164"/>
      <c r="E276" s="163"/>
      <c r="F276" s="182"/>
      <c r="G276" s="175">
        <f>G277+G309+G323+G289+G294+G298</f>
        <v>711115</v>
      </c>
      <c r="H276" s="165">
        <f>H277+H309+H323+H289+H294+H298</f>
        <v>13480</v>
      </c>
      <c r="I276" s="86"/>
    </row>
    <row r="277" spans="1:9" s="48" customFormat="1" ht="16.5" thickBot="1">
      <c r="A277" s="371" t="s">
        <v>228</v>
      </c>
      <c r="B277" s="164" t="s">
        <v>192</v>
      </c>
      <c r="C277" s="163" t="s">
        <v>186</v>
      </c>
      <c r="D277" s="164"/>
      <c r="E277" s="163"/>
      <c r="F277" s="164"/>
      <c r="G277" s="175">
        <f>G278+G282+G286</f>
        <v>338836.5</v>
      </c>
      <c r="H277" s="165">
        <f>H278+H282+H286</f>
        <v>1678</v>
      </c>
      <c r="I277" s="86"/>
    </row>
    <row r="278" spans="1:9" s="48" customFormat="1" ht="30">
      <c r="A278" s="369" t="s">
        <v>206</v>
      </c>
      <c r="B278" s="233" t="s">
        <v>192</v>
      </c>
      <c r="C278" s="171" t="s">
        <v>186</v>
      </c>
      <c r="D278" s="172" t="s">
        <v>71</v>
      </c>
      <c r="E278" s="171"/>
      <c r="F278" s="236"/>
      <c r="G278" s="231">
        <f aca="true" t="shared" si="10" ref="G278:H280">G279</f>
        <v>81759.7</v>
      </c>
      <c r="H278" s="195">
        <f t="shared" si="10"/>
        <v>0</v>
      </c>
      <c r="I278" s="86"/>
    </row>
    <row r="279" spans="1:9" s="48" customFormat="1" ht="57.75" customHeight="1">
      <c r="A279" s="369" t="s">
        <v>474</v>
      </c>
      <c r="B279" s="152" t="s">
        <v>192</v>
      </c>
      <c r="C279" s="171" t="s">
        <v>186</v>
      </c>
      <c r="D279" s="172" t="s">
        <v>208</v>
      </c>
      <c r="E279" s="171"/>
      <c r="F279" s="149"/>
      <c r="G279" s="184">
        <f t="shared" si="10"/>
        <v>81759.7</v>
      </c>
      <c r="H279" s="173">
        <f t="shared" si="10"/>
        <v>0</v>
      </c>
      <c r="I279" s="86"/>
    </row>
    <row r="280" spans="1:9" s="48" customFormat="1" ht="28.5" customHeight="1">
      <c r="A280" s="369" t="s">
        <v>242</v>
      </c>
      <c r="B280" s="233" t="s">
        <v>192</v>
      </c>
      <c r="C280" s="171" t="s">
        <v>186</v>
      </c>
      <c r="D280" s="172" t="s">
        <v>243</v>
      </c>
      <c r="E280" s="171"/>
      <c r="F280" s="149"/>
      <c r="G280" s="184">
        <f t="shared" si="10"/>
        <v>81759.7</v>
      </c>
      <c r="H280" s="173">
        <f t="shared" si="10"/>
        <v>0</v>
      </c>
      <c r="I280" s="86"/>
    </row>
    <row r="281" spans="1:9" s="48" customFormat="1" ht="15.75">
      <c r="A281" s="369" t="s">
        <v>209</v>
      </c>
      <c r="B281" s="233" t="s">
        <v>192</v>
      </c>
      <c r="C281" s="171" t="s">
        <v>186</v>
      </c>
      <c r="D281" s="172" t="s">
        <v>243</v>
      </c>
      <c r="E281" s="171" t="s">
        <v>67</v>
      </c>
      <c r="F281" s="149"/>
      <c r="G281" s="184">
        <f>'Прилож №3'!H203+'Прилож №3'!H207</f>
        <v>81759.7</v>
      </c>
      <c r="H281" s="173">
        <f>'Прилож №3'!I203+'Прилож №3'!I207</f>
        <v>0</v>
      </c>
      <c r="I281" s="86"/>
    </row>
    <row r="282" spans="1:9" s="48" customFormat="1" ht="15.75">
      <c r="A282" s="190" t="s">
        <v>41</v>
      </c>
      <c r="B282" s="172" t="s">
        <v>192</v>
      </c>
      <c r="C282" s="171" t="s">
        <v>186</v>
      </c>
      <c r="D282" s="152" t="s">
        <v>42</v>
      </c>
      <c r="E282" s="151"/>
      <c r="F282" s="152"/>
      <c r="G282" s="180">
        <f>G283</f>
        <v>236373.8</v>
      </c>
      <c r="H282" s="154">
        <f>H283</f>
        <v>1078</v>
      </c>
      <c r="I282" s="86"/>
    </row>
    <row r="283" spans="1:9" s="48" customFormat="1" ht="15.75">
      <c r="A283" s="363" t="s">
        <v>27</v>
      </c>
      <c r="B283" s="172" t="s">
        <v>192</v>
      </c>
      <c r="C283" s="171" t="s">
        <v>186</v>
      </c>
      <c r="D283" s="152" t="s">
        <v>229</v>
      </c>
      <c r="E283" s="151"/>
      <c r="F283" s="152"/>
      <c r="G283" s="180">
        <f>G284+G285</f>
        <v>236373.8</v>
      </c>
      <c r="H283" s="154">
        <f>H284+H285</f>
        <v>1078</v>
      </c>
      <c r="I283" s="86"/>
    </row>
    <row r="284" spans="1:9" s="48" customFormat="1" ht="15.75">
      <c r="A284" s="363" t="s">
        <v>172</v>
      </c>
      <c r="B284" s="172" t="s">
        <v>192</v>
      </c>
      <c r="C284" s="171" t="s">
        <v>186</v>
      </c>
      <c r="D284" s="152" t="s">
        <v>229</v>
      </c>
      <c r="E284" s="151" t="s">
        <v>86</v>
      </c>
      <c r="F284" s="152"/>
      <c r="G284" s="180">
        <f>'Прилож №3'!H353</f>
        <v>236295.8</v>
      </c>
      <c r="H284" s="154">
        <f>'Прилож №3'!I353</f>
        <v>1000</v>
      </c>
      <c r="I284" s="86"/>
    </row>
    <row r="285" spans="1:9" s="48" customFormat="1" ht="15.75">
      <c r="A285" s="363" t="s">
        <v>172</v>
      </c>
      <c r="B285" s="172" t="s">
        <v>192</v>
      </c>
      <c r="C285" s="171" t="s">
        <v>186</v>
      </c>
      <c r="D285" s="152" t="s">
        <v>425</v>
      </c>
      <c r="E285" s="151" t="s">
        <v>86</v>
      </c>
      <c r="F285" s="152"/>
      <c r="G285" s="180">
        <f>'Прилож №3'!H354</f>
        <v>78</v>
      </c>
      <c r="H285" s="154">
        <f>'Прилож №3'!I354</f>
        <v>78</v>
      </c>
      <c r="I285" s="86"/>
    </row>
    <row r="286" spans="1:9" s="48" customFormat="1" ht="15.75">
      <c r="A286" s="268" t="s">
        <v>328</v>
      </c>
      <c r="B286" s="172" t="s">
        <v>192</v>
      </c>
      <c r="C286" s="171" t="s">
        <v>186</v>
      </c>
      <c r="D286" s="30" t="s">
        <v>329</v>
      </c>
      <c r="E286" s="151"/>
      <c r="F286" s="152"/>
      <c r="G286" s="180">
        <f>G287</f>
        <v>20703</v>
      </c>
      <c r="H286" s="154">
        <f>H287</f>
        <v>600</v>
      </c>
      <c r="I286" s="86"/>
    </row>
    <row r="287" spans="1:9" s="48" customFormat="1" ht="15.75">
      <c r="A287" s="268" t="s">
        <v>27</v>
      </c>
      <c r="B287" s="172" t="s">
        <v>192</v>
      </c>
      <c r="C287" s="171" t="s">
        <v>186</v>
      </c>
      <c r="D287" s="30" t="s">
        <v>330</v>
      </c>
      <c r="E287" s="151"/>
      <c r="F287" s="152"/>
      <c r="G287" s="180">
        <f>G288</f>
        <v>20703</v>
      </c>
      <c r="H287" s="154">
        <f>H288</f>
        <v>600</v>
      </c>
      <c r="I287" s="86"/>
    </row>
    <row r="288" spans="1:9" s="48" customFormat="1" ht="15.75">
      <c r="A288" s="268" t="s">
        <v>172</v>
      </c>
      <c r="B288" s="172" t="s">
        <v>192</v>
      </c>
      <c r="C288" s="171" t="s">
        <v>186</v>
      </c>
      <c r="D288" s="30" t="s">
        <v>330</v>
      </c>
      <c r="E288" s="151" t="s">
        <v>86</v>
      </c>
      <c r="F288" s="152"/>
      <c r="G288" s="180">
        <f>'Прилож №3'!H357</f>
        <v>20703</v>
      </c>
      <c r="H288" s="154">
        <f>'Прилож №3'!I357</f>
        <v>600</v>
      </c>
      <c r="I288" s="86"/>
    </row>
    <row r="289" spans="1:9" s="23" customFormat="1" ht="15.75">
      <c r="A289" s="376" t="s">
        <v>331</v>
      </c>
      <c r="B289" s="149" t="s">
        <v>192</v>
      </c>
      <c r="C289" s="187" t="s">
        <v>187</v>
      </c>
      <c r="D289" s="115"/>
      <c r="E289" s="155"/>
      <c r="F289" s="156"/>
      <c r="G289" s="179">
        <f>G290</f>
        <v>265785</v>
      </c>
      <c r="H289" s="158">
        <f>H290</f>
        <v>9419</v>
      </c>
      <c r="I289" s="119"/>
    </row>
    <row r="290" spans="1:9" s="48" customFormat="1" ht="15.75">
      <c r="A290" s="268" t="s">
        <v>332</v>
      </c>
      <c r="B290" s="172" t="s">
        <v>192</v>
      </c>
      <c r="C290" s="171" t="s">
        <v>187</v>
      </c>
      <c r="D290" s="30" t="s">
        <v>333</v>
      </c>
      <c r="E290" s="151"/>
      <c r="F290" s="152"/>
      <c r="G290" s="180">
        <f>G291</f>
        <v>265785</v>
      </c>
      <c r="H290" s="154">
        <f>H291</f>
        <v>9419</v>
      </c>
      <c r="I290" s="86"/>
    </row>
    <row r="291" spans="1:9" s="48" customFormat="1" ht="15.75">
      <c r="A291" s="268" t="s">
        <v>27</v>
      </c>
      <c r="B291" s="172" t="s">
        <v>192</v>
      </c>
      <c r="C291" s="171" t="s">
        <v>187</v>
      </c>
      <c r="D291" s="30" t="s">
        <v>334</v>
      </c>
      <c r="E291" s="151"/>
      <c r="F291" s="152"/>
      <c r="G291" s="180">
        <f>G292+G293</f>
        <v>265785</v>
      </c>
      <c r="H291" s="154">
        <f>H292+H293</f>
        <v>9419</v>
      </c>
      <c r="I291" s="86"/>
    </row>
    <row r="292" spans="1:9" s="48" customFormat="1" ht="15.75">
      <c r="A292" s="268" t="s">
        <v>172</v>
      </c>
      <c r="B292" s="172" t="s">
        <v>192</v>
      </c>
      <c r="C292" s="171" t="s">
        <v>187</v>
      </c>
      <c r="D292" s="30" t="s">
        <v>334</v>
      </c>
      <c r="E292" s="151" t="s">
        <v>86</v>
      </c>
      <c r="F292" s="152"/>
      <c r="G292" s="180">
        <f>'Прилож №3'!H361</f>
        <v>258566</v>
      </c>
      <c r="H292" s="154">
        <f>'Прилож №3'!I361</f>
        <v>2200</v>
      </c>
      <c r="I292" s="86"/>
    </row>
    <row r="293" spans="1:9" s="48" customFormat="1" ht="15.75">
      <c r="A293" s="268" t="s">
        <v>172</v>
      </c>
      <c r="B293" s="172" t="s">
        <v>192</v>
      </c>
      <c r="C293" s="171" t="s">
        <v>187</v>
      </c>
      <c r="D293" s="30" t="s">
        <v>424</v>
      </c>
      <c r="E293" s="151" t="s">
        <v>86</v>
      </c>
      <c r="F293" s="152"/>
      <c r="G293" s="180">
        <f>'Прилож №3'!H362</f>
        <v>7219</v>
      </c>
      <c r="H293" s="154">
        <f>'Прилож №3'!I362</f>
        <v>7219</v>
      </c>
      <c r="I293" s="86"/>
    </row>
    <row r="294" spans="1:9" s="23" customFormat="1" ht="15.75">
      <c r="A294" s="376" t="s">
        <v>335</v>
      </c>
      <c r="B294" s="149" t="s">
        <v>192</v>
      </c>
      <c r="C294" s="187" t="s">
        <v>191</v>
      </c>
      <c r="D294" s="115"/>
      <c r="E294" s="155"/>
      <c r="F294" s="156"/>
      <c r="G294" s="179">
        <f aca="true" t="shared" si="11" ref="G294:H296">G295</f>
        <v>3895.8</v>
      </c>
      <c r="H294" s="158">
        <f t="shared" si="11"/>
        <v>0</v>
      </c>
      <c r="I294" s="119"/>
    </row>
    <row r="295" spans="1:9" s="48" customFormat="1" ht="15.75">
      <c r="A295" s="269" t="s">
        <v>41</v>
      </c>
      <c r="B295" s="172" t="s">
        <v>192</v>
      </c>
      <c r="C295" s="171" t="s">
        <v>191</v>
      </c>
      <c r="D295" s="30" t="s">
        <v>42</v>
      </c>
      <c r="E295" s="151"/>
      <c r="F295" s="152"/>
      <c r="G295" s="180">
        <f t="shared" si="11"/>
        <v>3895.8</v>
      </c>
      <c r="H295" s="154">
        <f t="shared" si="11"/>
        <v>0</v>
      </c>
      <c r="I295" s="86"/>
    </row>
    <row r="296" spans="1:9" s="48" customFormat="1" ht="15.75">
      <c r="A296" s="268" t="s">
        <v>27</v>
      </c>
      <c r="B296" s="172" t="s">
        <v>192</v>
      </c>
      <c r="C296" s="171" t="s">
        <v>191</v>
      </c>
      <c r="D296" s="30" t="s">
        <v>229</v>
      </c>
      <c r="E296" s="151"/>
      <c r="F296" s="152"/>
      <c r="G296" s="180">
        <f t="shared" si="11"/>
        <v>3895.8</v>
      </c>
      <c r="H296" s="154">
        <f t="shared" si="11"/>
        <v>0</v>
      </c>
      <c r="I296" s="86"/>
    </row>
    <row r="297" spans="1:9" s="48" customFormat="1" ht="15.75">
      <c r="A297" s="268" t="s">
        <v>172</v>
      </c>
      <c r="B297" s="172" t="s">
        <v>192</v>
      </c>
      <c r="C297" s="171" t="s">
        <v>191</v>
      </c>
      <c r="D297" s="30" t="s">
        <v>229</v>
      </c>
      <c r="E297" s="151" t="s">
        <v>86</v>
      </c>
      <c r="F297" s="152"/>
      <c r="G297" s="180">
        <f>'Прилож №3'!H366</f>
        <v>3895.8</v>
      </c>
      <c r="H297" s="154">
        <f>'Прилож №3'!I366</f>
        <v>0</v>
      </c>
      <c r="I297" s="86"/>
    </row>
    <row r="298" spans="1:9" s="23" customFormat="1" ht="15.75">
      <c r="A298" s="376" t="s">
        <v>336</v>
      </c>
      <c r="B298" s="149" t="s">
        <v>192</v>
      </c>
      <c r="C298" s="187" t="s">
        <v>188</v>
      </c>
      <c r="D298" s="115"/>
      <c r="E298" s="155"/>
      <c r="F298" s="156"/>
      <c r="G298" s="179">
        <f>G303+G306+G299</f>
        <v>31004.6</v>
      </c>
      <c r="H298" s="158">
        <f>H303+H306+H299</f>
        <v>2383</v>
      </c>
      <c r="I298" s="119"/>
    </row>
    <row r="299" spans="1:9" s="23" customFormat="1" ht="30">
      <c r="A299" s="355" t="s">
        <v>206</v>
      </c>
      <c r="B299" s="233" t="s">
        <v>192</v>
      </c>
      <c r="C299" s="171" t="s">
        <v>186</v>
      </c>
      <c r="D299" s="172" t="s">
        <v>71</v>
      </c>
      <c r="E299" s="171"/>
      <c r="F299" s="156"/>
      <c r="G299" s="179">
        <f aca="true" t="shared" si="12" ref="G299:H301">G300</f>
        <v>0</v>
      </c>
      <c r="H299" s="158">
        <f t="shared" si="12"/>
        <v>0</v>
      </c>
      <c r="I299" s="119"/>
    </row>
    <row r="300" spans="1:9" s="23" customFormat="1" ht="60">
      <c r="A300" s="369" t="s">
        <v>474</v>
      </c>
      <c r="B300" s="152" t="s">
        <v>192</v>
      </c>
      <c r="C300" s="171" t="s">
        <v>186</v>
      </c>
      <c r="D300" s="172" t="s">
        <v>208</v>
      </c>
      <c r="E300" s="171"/>
      <c r="F300" s="156"/>
      <c r="G300" s="179">
        <f t="shared" si="12"/>
        <v>0</v>
      </c>
      <c r="H300" s="158">
        <f t="shared" si="12"/>
        <v>0</v>
      </c>
      <c r="I300" s="119"/>
    </row>
    <row r="301" spans="1:9" s="23" customFormat="1" ht="30">
      <c r="A301" s="369" t="s">
        <v>242</v>
      </c>
      <c r="B301" s="233" t="s">
        <v>192</v>
      </c>
      <c r="C301" s="171" t="s">
        <v>186</v>
      </c>
      <c r="D301" s="172" t="s">
        <v>243</v>
      </c>
      <c r="E301" s="171"/>
      <c r="F301" s="156"/>
      <c r="G301" s="179">
        <f t="shared" si="12"/>
        <v>0</v>
      </c>
      <c r="H301" s="158">
        <f t="shared" si="12"/>
        <v>0</v>
      </c>
      <c r="I301" s="119"/>
    </row>
    <row r="302" spans="1:9" s="23" customFormat="1" ht="15.75">
      <c r="A302" s="369" t="s">
        <v>209</v>
      </c>
      <c r="B302" s="233" t="s">
        <v>192</v>
      </c>
      <c r="C302" s="171" t="s">
        <v>186</v>
      </c>
      <c r="D302" s="172" t="s">
        <v>243</v>
      </c>
      <c r="E302" s="171" t="s">
        <v>67</v>
      </c>
      <c r="F302" s="156"/>
      <c r="G302" s="179">
        <f>'Прилож №3'!H212</f>
        <v>0</v>
      </c>
      <c r="H302" s="158">
        <f>'Прилож №3'!I212</f>
        <v>0</v>
      </c>
      <c r="I302" s="119"/>
    </row>
    <row r="303" spans="1:9" s="48" customFormat="1" ht="15.75">
      <c r="A303" s="268" t="s">
        <v>337</v>
      </c>
      <c r="B303" s="172" t="s">
        <v>192</v>
      </c>
      <c r="C303" s="171" t="s">
        <v>188</v>
      </c>
      <c r="D303" s="30" t="s">
        <v>338</v>
      </c>
      <c r="E303" s="151"/>
      <c r="F303" s="152"/>
      <c r="G303" s="180">
        <f>G304</f>
        <v>28052.399999999998</v>
      </c>
      <c r="H303" s="154">
        <f>H304</f>
        <v>0</v>
      </c>
      <c r="I303" s="86"/>
    </row>
    <row r="304" spans="1:9" s="48" customFormat="1" ht="15.75">
      <c r="A304" s="268" t="s">
        <v>27</v>
      </c>
      <c r="B304" s="172" t="s">
        <v>192</v>
      </c>
      <c r="C304" s="171" t="s">
        <v>188</v>
      </c>
      <c r="D304" s="30" t="s">
        <v>339</v>
      </c>
      <c r="E304" s="151"/>
      <c r="F304" s="152"/>
      <c r="G304" s="180">
        <f>G305</f>
        <v>28052.399999999998</v>
      </c>
      <c r="H304" s="154">
        <f>H305</f>
        <v>0</v>
      </c>
      <c r="I304" s="86"/>
    </row>
    <row r="305" spans="1:9" s="48" customFormat="1" ht="15.75">
      <c r="A305" s="268" t="s">
        <v>172</v>
      </c>
      <c r="B305" s="172" t="s">
        <v>192</v>
      </c>
      <c r="C305" s="171" t="s">
        <v>188</v>
      </c>
      <c r="D305" s="30" t="s">
        <v>339</v>
      </c>
      <c r="E305" s="151" t="s">
        <v>86</v>
      </c>
      <c r="F305" s="152"/>
      <c r="G305" s="180">
        <f>'Прилож №3'!H370</f>
        <v>28052.399999999998</v>
      </c>
      <c r="H305" s="154"/>
      <c r="I305" s="86"/>
    </row>
    <row r="306" spans="1:9" s="48" customFormat="1" ht="15.75">
      <c r="A306" s="268" t="s">
        <v>125</v>
      </c>
      <c r="B306" s="172" t="s">
        <v>192</v>
      </c>
      <c r="C306" s="171" t="s">
        <v>188</v>
      </c>
      <c r="D306" s="30" t="s">
        <v>95</v>
      </c>
      <c r="E306" s="151"/>
      <c r="F306" s="152"/>
      <c r="G306" s="180">
        <f>G307</f>
        <v>2952.2</v>
      </c>
      <c r="H306" s="154">
        <f>H307</f>
        <v>2383</v>
      </c>
      <c r="I306" s="86"/>
    </row>
    <row r="307" spans="1:9" s="48" customFormat="1" ht="39">
      <c r="A307" s="374" t="s">
        <v>340</v>
      </c>
      <c r="B307" s="172" t="s">
        <v>192</v>
      </c>
      <c r="C307" s="171" t="s">
        <v>188</v>
      </c>
      <c r="D307" s="30" t="s">
        <v>280</v>
      </c>
      <c r="E307" s="151"/>
      <c r="F307" s="152"/>
      <c r="G307" s="180">
        <f>G308</f>
        <v>2952.2</v>
      </c>
      <c r="H307" s="154">
        <f>H308</f>
        <v>2383</v>
      </c>
      <c r="I307" s="86"/>
    </row>
    <row r="308" spans="1:9" s="48" customFormat="1" ht="15.75">
      <c r="A308" s="268" t="s">
        <v>172</v>
      </c>
      <c r="B308" s="172" t="s">
        <v>192</v>
      </c>
      <c r="C308" s="171" t="s">
        <v>188</v>
      </c>
      <c r="D308" s="30" t="s">
        <v>280</v>
      </c>
      <c r="E308" s="151" t="s">
        <v>86</v>
      </c>
      <c r="F308" s="152"/>
      <c r="G308" s="180">
        <f>'Прилож №3'!H373</f>
        <v>2952.2</v>
      </c>
      <c r="H308" s="154">
        <f>'Прилож №3'!I373</f>
        <v>2383</v>
      </c>
      <c r="I308" s="86"/>
    </row>
    <row r="309" spans="1:9" s="23" customFormat="1" ht="15.75">
      <c r="A309" s="362" t="s">
        <v>230</v>
      </c>
      <c r="B309" s="149" t="s">
        <v>192</v>
      </c>
      <c r="C309" s="155" t="s">
        <v>195</v>
      </c>
      <c r="D309" s="156"/>
      <c r="E309" s="155"/>
      <c r="F309" s="156"/>
      <c r="G309" s="179">
        <f>G314+G310+G320+G317</f>
        <v>62099.6</v>
      </c>
      <c r="H309" s="158">
        <f>H314+H310+H320</f>
        <v>0</v>
      </c>
      <c r="I309" s="119"/>
    </row>
    <row r="310" spans="1:9" s="48" customFormat="1" ht="30">
      <c r="A310" s="369" t="s">
        <v>206</v>
      </c>
      <c r="B310" s="233" t="s">
        <v>192</v>
      </c>
      <c r="C310" s="171" t="s">
        <v>195</v>
      </c>
      <c r="D310" s="172" t="s">
        <v>71</v>
      </c>
      <c r="E310" s="171"/>
      <c r="F310" s="152"/>
      <c r="G310" s="180">
        <f aca="true" t="shared" si="13" ref="G310:H312">G311</f>
        <v>50000</v>
      </c>
      <c r="H310" s="154">
        <f t="shared" si="13"/>
        <v>0</v>
      </c>
      <c r="I310" s="86"/>
    </row>
    <row r="311" spans="1:9" s="48" customFormat="1" ht="27.75" customHeight="1">
      <c r="A311" s="369" t="s">
        <v>276</v>
      </c>
      <c r="B311" s="233" t="s">
        <v>192</v>
      </c>
      <c r="C311" s="171" t="s">
        <v>195</v>
      </c>
      <c r="D311" s="172" t="s">
        <v>208</v>
      </c>
      <c r="E311" s="171"/>
      <c r="F311" s="152"/>
      <c r="G311" s="180">
        <f t="shared" si="13"/>
        <v>50000</v>
      </c>
      <c r="H311" s="154">
        <f t="shared" si="13"/>
        <v>0</v>
      </c>
      <c r="I311" s="86"/>
    </row>
    <row r="312" spans="1:9" s="48" customFormat="1" ht="32.25" customHeight="1">
      <c r="A312" s="369" t="s">
        <v>242</v>
      </c>
      <c r="B312" s="233" t="s">
        <v>192</v>
      </c>
      <c r="C312" s="171" t="s">
        <v>195</v>
      </c>
      <c r="D312" s="172" t="s">
        <v>243</v>
      </c>
      <c r="E312" s="171"/>
      <c r="F312" s="152"/>
      <c r="G312" s="180">
        <f t="shared" si="13"/>
        <v>50000</v>
      </c>
      <c r="H312" s="154">
        <f t="shared" si="13"/>
        <v>0</v>
      </c>
      <c r="I312" s="86"/>
    </row>
    <row r="313" spans="1:9" s="48" customFormat="1" ht="15.75">
      <c r="A313" s="369" t="s">
        <v>209</v>
      </c>
      <c r="B313" s="233" t="s">
        <v>192</v>
      </c>
      <c r="C313" s="171" t="s">
        <v>195</v>
      </c>
      <c r="D313" s="172" t="s">
        <v>243</v>
      </c>
      <c r="E313" s="171" t="s">
        <v>67</v>
      </c>
      <c r="F313" s="152"/>
      <c r="G313" s="180">
        <f>'Прилож №3'!H217+'Прилож №3'!H221</f>
        <v>50000</v>
      </c>
      <c r="H313" s="154">
        <f>'Прилож №3'!I217</f>
        <v>0</v>
      </c>
      <c r="I313" s="86"/>
    </row>
    <row r="314" spans="1:9" s="48" customFormat="1" ht="15.75">
      <c r="A314" s="190" t="s">
        <v>78</v>
      </c>
      <c r="B314" s="172" t="s">
        <v>192</v>
      </c>
      <c r="C314" s="151" t="s">
        <v>195</v>
      </c>
      <c r="D314" s="161" t="s">
        <v>79</v>
      </c>
      <c r="E314" s="160"/>
      <c r="F314" s="152"/>
      <c r="G314" s="180">
        <f>G315</f>
        <v>9530.5</v>
      </c>
      <c r="H314" s="154">
        <f>H315</f>
        <v>0</v>
      </c>
      <c r="I314" s="86"/>
    </row>
    <row r="315" spans="1:9" s="48" customFormat="1" ht="15.75">
      <c r="A315" s="363" t="s">
        <v>27</v>
      </c>
      <c r="B315" s="172" t="s">
        <v>192</v>
      </c>
      <c r="C315" s="151" t="s">
        <v>195</v>
      </c>
      <c r="D315" s="161" t="s">
        <v>231</v>
      </c>
      <c r="E315" s="160"/>
      <c r="F315" s="152"/>
      <c r="G315" s="180">
        <f>G316</f>
        <v>9530.5</v>
      </c>
      <c r="H315" s="154">
        <f>H316</f>
        <v>0</v>
      </c>
      <c r="I315" s="86"/>
    </row>
    <row r="316" spans="1:9" s="48" customFormat="1" ht="15.75">
      <c r="A316" s="363" t="s">
        <v>172</v>
      </c>
      <c r="B316" s="172" t="s">
        <v>192</v>
      </c>
      <c r="C316" s="151" t="s">
        <v>195</v>
      </c>
      <c r="D316" s="161" t="s">
        <v>231</v>
      </c>
      <c r="E316" s="160" t="s">
        <v>86</v>
      </c>
      <c r="F316" s="152"/>
      <c r="G316" s="180">
        <f>'Прилож №3'!H435</f>
        <v>9530.5</v>
      </c>
      <c r="H316" s="154">
        <f>'Прилож №3'!I435</f>
        <v>0</v>
      </c>
      <c r="I316" s="86"/>
    </row>
    <row r="317" spans="1:9" s="48" customFormat="1" ht="15.75">
      <c r="A317" s="377" t="s">
        <v>419</v>
      </c>
      <c r="B317" s="350" t="s">
        <v>192</v>
      </c>
      <c r="C317" s="293" t="s">
        <v>195</v>
      </c>
      <c r="D317" s="292" t="s">
        <v>420</v>
      </c>
      <c r="E317" s="297"/>
      <c r="F317" s="294"/>
      <c r="G317" s="295">
        <f>G318</f>
        <v>535.2</v>
      </c>
      <c r="H317" s="296"/>
      <c r="I317" s="86"/>
    </row>
    <row r="318" spans="1:9" s="48" customFormat="1" ht="15.75">
      <c r="A318" s="377" t="s">
        <v>421</v>
      </c>
      <c r="B318" s="350" t="s">
        <v>192</v>
      </c>
      <c r="C318" s="293" t="s">
        <v>195</v>
      </c>
      <c r="D318" s="292" t="s">
        <v>422</v>
      </c>
      <c r="E318" s="293"/>
      <c r="F318" s="294"/>
      <c r="G318" s="295">
        <f>G319</f>
        <v>535.2</v>
      </c>
      <c r="H318" s="296"/>
      <c r="I318" s="86"/>
    </row>
    <row r="319" spans="1:9" s="48" customFormat="1" ht="15.75">
      <c r="A319" s="378" t="s">
        <v>172</v>
      </c>
      <c r="B319" s="350" t="s">
        <v>192</v>
      </c>
      <c r="C319" s="293" t="s">
        <v>195</v>
      </c>
      <c r="D319" s="347" t="s">
        <v>422</v>
      </c>
      <c r="E319" s="297" t="s">
        <v>86</v>
      </c>
      <c r="F319" s="294"/>
      <c r="G319" s="295">
        <f>'Прилож №3'!H432</f>
        <v>535.2</v>
      </c>
      <c r="H319" s="296"/>
      <c r="I319" s="86"/>
    </row>
    <row r="320" spans="1:9" s="48" customFormat="1" ht="15.75">
      <c r="A320" s="190" t="s">
        <v>131</v>
      </c>
      <c r="B320" s="172" t="s">
        <v>192</v>
      </c>
      <c r="C320" s="151" t="s">
        <v>195</v>
      </c>
      <c r="D320" s="161" t="s">
        <v>132</v>
      </c>
      <c r="E320" s="160"/>
      <c r="F320" s="152"/>
      <c r="G320" s="180">
        <f>G321</f>
        <v>2033.9</v>
      </c>
      <c r="H320" s="154"/>
      <c r="I320" s="86"/>
    </row>
    <row r="321" spans="1:9" s="48" customFormat="1" ht="30">
      <c r="A321" s="355" t="s">
        <v>367</v>
      </c>
      <c r="B321" s="172" t="s">
        <v>192</v>
      </c>
      <c r="C321" s="151" t="s">
        <v>195</v>
      </c>
      <c r="D321" s="161" t="s">
        <v>258</v>
      </c>
      <c r="E321" s="160"/>
      <c r="F321" s="152"/>
      <c r="G321" s="180">
        <f>G322</f>
        <v>2033.9</v>
      </c>
      <c r="H321" s="154"/>
      <c r="I321" s="86"/>
    </row>
    <row r="322" spans="1:9" s="48" customFormat="1" ht="15.75">
      <c r="A322" s="357" t="s">
        <v>146</v>
      </c>
      <c r="B322" s="172" t="s">
        <v>192</v>
      </c>
      <c r="C322" s="151" t="s">
        <v>195</v>
      </c>
      <c r="D322" s="161" t="s">
        <v>258</v>
      </c>
      <c r="E322" s="160" t="s">
        <v>278</v>
      </c>
      <c r="F322" s="152"/>
      <c r="G322" s="180">
        <f>'Прилож №3'!H438</f>
        <v>2033.9</v>
      </c>
      <c r="H322" s="154"/>
      <c r="I322" s="86"/>
    </row>
    <row r="323" spans="1:9" s="48" customFormat="1" ht="29.25">
      <c r="A323" s="360" t="s">
        <v>232</v>
      </c>
      <c r="B323" s="172" t="s">
        <v>192</v>
      </c>
      <c r="C323" s="155" t="s">
        <v>193</v>
      </c>
      <c r="D323" s="189"/>
      <c r="E323" s="174"/>
      <c r="F323" s="156"/>
      <c r="G323" s="179">
        <f>G324+G327</f>
        <v>9493.5</v>
      </c>
      <c r="H323" s="158">
        <f aca="true" t="shared" si="14" ref="G323:H325">H324</f>
        <v>0</v>
      </c>
      <c r="I323" s="86"/>
    </row>
    <row r="324" spans="1:9" s="48" customFormat="1" ht="18" customHeight="1">
      <c r="A324" s="355" t="s">
        <v>147</v>
      </c>
      <c r="B324" s="152" t="s">
        <v>192</v>
      </c>
      <c r="C324" s="151" t="s">
        <v>193</v>
      </c>
      <c r="D324" s="152" t="s">
        <v>277</v>
      </c>
      <c r="E324" s="151"/>
      <c r="F324" s="152"/>
      <c r="G324" s="180">
        <f t="shared" si="14"/>
        <v>8808.1</v>
      </c>
      <c r="H324" s="154">
        <f t="shared" si="14"/>
        <v>0</v>
      </c>
      <c r="I324" s="86"/>
    </row>
    <row r="325" spans="1:9" s="48" customFormat="1" ht="15.75">
      <c r="A325" s="357" t="s">
        <v>50</v>
      </c>
      <c r="B325" s="152" t="s">
        <v>192</v>
      </c>
      <c r="C325" s="151" t="s">
        <v>193</v>
      </c>
      <c r="D325" s="152" t="s">
        <v>279</v>
      </c>
      <c r="E325" s="151"/>
      <c r="F325" s="152"/>
      <c r="G325" s="180">
        <f t="shared" si="14"/>
        <v>8808.1</v>
      </c>
      <c r="H325" s="154">
        <f t="shared" si="14"/>
        <v>0</v>
      </c>
      <c r="I325" s="86"/>
    </row>
    <row r="326" spans="1:9" s="48" customFormat="1" ht="15.75">
      <c r="A326" s="364" t="s">
        <v>146</v>
      </c>
      <c r="B326" s="161" t="s">
        <v>192</v>
      </c>
      <c r="C326" s="160" t="s">
        <v>193</v>
      </c>
      <c r="D326" s="161" t="s">
        <v>279</v>
      </c>
      <c r="E326" s="160" t="s">
        <v>278</v>
      </c>
      <c r="F326" s="161"/>
      <c r="G326" s="202">
        <f>'Прилож №3'!H442</f>
        <v>8808.1</v>
      </c>
      <c r="H326" s="162">
        <f>'Прилож №3'!I442</f>
        <v>0</v>
      </c>
      <c r="I326" s="86"/>
    </row>
    <row r="327" spans="1:9" s="48" customFormat="1" ht="15.75">
      <c r="A327" s="269" t="s">
        <v>131</v>
      </c>
      <c r="B327" s="161" t="s">
        <v>192</v>
      </c>
      <c r="C327" s="160" t="s">
        <v>193</v>
      </c>
      <c r="D327" s="30" t="s">
        <v>132</v>
      </c>
      <c r="E327" s="151"/>
      <c r="F327" s="153"/>
      <c r="G327" s="176">
        <f>G330+G328+G332</f>
        <v>685.3999999999999</v>
      </c>
      <c r="H327" s="154"/>
      <c r="I327" s="86"/>
    </row>
    <row r="328" spans="1:9" s="48" customFormat="1" ht="39">
      <c r="A328" s="291" t="s">
        <v>358</v>
      </c>
      <c r="B328" s="161" t="s">
        <v>192</v>
      </c>
      <c r="C328" s="160" t="s">
        <v>193</v>
      </c>
      <c r="D328" s="30" t="s">
        <v>359</v>
      </c>
      <c r="E328" s="151"/>
      <c r="F328" s="152"/>
      <c r="G328" s="176">
        <f>G329</f>
        <v>671.2</v>
      </c>
      <c r="H328" s="154"/>
      <c r="I328" s="86"/>
    </row>
    <row r="329" spans="1:9" s="48" customFormat="1" ht="15.75">
      <c r="A329" s="379" t="s">
        <v>146</v>
      </c>
      <c r="B329" s="161" t="s">
        <v>192</v>
      </c>
      <c r="C329" s="160" t="s">
        <v>193</v>
      </c>
      <c r="D329" s="30" t="s">
        <v>359</v>
      </c>
      <c r="E329" s="151" t="s">
        <v>278</v>
      </c>
      <c r="F329" s="152"/>
      <c r="G329" s="176">
        <f>'Прилож №3'!H377</f>
        <v>671.2</v>
      </c>
      <c r="H329" s="154"/>
      <c r="I329" s="86"/>
    </row>
    <row r="330" spans="1:9" s="48" customFormat="1" ht="39">
      <c r="A330" s="291" t="s">
        <v>353</v>
      </c>
      <c r="B330" s="161" t="s">
        <v>192</v>
      </c>
      <c r="C330" s="160" t="s">
        <v>193</v>
      </c>
      <c r="D330" s="30" t="s">
        <v>354</v>
      </c>
      <c r="E330" s="18"/>
      <c r="F330" s="113"/>
      <c r="G330" s="176">
        <f>G331</f>
        <v>14.199999999999818</v>
      </c>
      <c r="H330" s="154"/>
      <c r="I330" s="86"/>
    </row>
    <row r="331" spans="1:9" s="48" customFormat="1" ht="15.75">
      <c r="A331" s="269" t="s">
        <v>146</v>
      </c>
      <c r="B331" s="152" t="s">
        <v>192</v>
      </c>
      <c r="C331" s="151" t="s">
        <v>193</v>
      </c>
      <c r="D331" s="30" t="s">
        <v>354</v>
      </c>
      <c r="E331" s="18" t="s">
        <v>278</v>
      </c>
      <c r="F331" s="343"/>
      <c r="G331" s="176">
        <f>'Прилож №3'!H379</f>
        <v>14.199999999999818</v>
      </c>
      <c r="H331" s="154"/>
      <c r="I331" s="86"/>
    </row>
    <row r="332" spans="1:9" s="48" customFormat="1" ht="26.25">
      <c r="A332" s="291" t="s">
        <v>360</v>
      </c>
      <c r="B332" s="161" t="s">
        <v>192</v>
      </c>
      <c r="C332" s="160" t="s">
        <v>193</v>
      </c>
      <c r="D332" s="30" t="s">
        <v>361</v>
      </c>
      <c r="E332" s="18"/>
      <c r="F332" s="343"/>
      <c r="G332" s="176">
        <f>G333</f>
        <v>0</v>
      </c>
      <c r="H332" s="154"/>
      <c r="I332" s="86"/>
    </row>
    <row r="333" spans="1:9" s="48" customFormat="1" ht="16.5" thickBot="1">
      <c r="A333" s="379" t="s">
        <v>146</v>
      </c>
      <c r="B333" s="161" t="s">
        <v>192</v>
      </c>
      <c r="C333" s="160" t="s">
        <v>193</v>
      </c>
      <c r="D333" s="31" t="s">
        <v>361</v>
      </c>
      <c r="E333" s="20" t="s">
        <v>278</v>
      </c>
      <c r="F333" s="344"/>
      <c r="G333" s="202">
        <f>'Прилож №3'!H381</f>
        <v>0</v>
      </c>
      <c r="H333" s="162"/>
      <c r="I333" s="86"/>
    </row>
    <row r="334" spans="1:9" s="48" customFormat="1" ht="16.5" thickBot="1">
      <c r="A334" s="371" t="s">
        <v>5</v>
      </c>
      <c r="B334" s="164" t="s">
        <v>193</v>
      </c>
      <c r="C334" s="163" t="s">
        <v>126</v>
      </c>
      <c r="D334" s="348"/>
      <c r="E334" s="346"/>
      <c r="F334" s="345" t="s">
        <v>278</v>
      </c>
      <c r="G334" s="312">
        <f>G335+G339+G369+G365</f>
        <v>106031.40000000001</v>
      </c>
      <c r="H334" s="165">
        <f>H335+H339+H369+H365</f>
        <v>84450.5</v>
      </c>
      <c r="I334" s="86"/>
    </row>
    <row r="335" spans="1:9" s="48" customFormat="1" ht="15.75">
      <c r="A335" s="368" t="s">
        <v>46</v>
      </c>
      <c r="B335" s="149" t="s">
        <v>193</v>
      </c>
      <c r="C335" s="187" t="s">
        <v>186</v>
      </c>
      <c r="D335" s="279"/>
      <c r="E335" s="280"/>
      <c r="F335" s="149"/>
      <c r="G335" s="197">
        <f aca="true" t="shared" si="15" ref="G335:H337">G336</f>
        <v>750</v>
      </c>
      <c r="H335" s="150">
        <f t="shared" si="15"/>
        <v>0</v>
      </c>
      <c r="I335" s="86"/>
    </row>
    <row r="336" spans="1:9" s="48" customFormat="1" ht="15.75">
      <c r="A336" s="190" t="s">
        <v>233</v>
      </c>
      <c r="B336" s="152" t="s">
        <v>193</v>
      </c>
      <c r="C336" s="151" t="s">
        <v>186</v>
      </c>
      <c r="D336" s="152" t="s">
        <v>234</v>
      </c>
      <c r="E336" s="160"/>
      <c r="F336" s="152"/>
      <c r="G336" s="180">
        <f t="shared" si="15"/>
        <v>750</v>
      </c>
      <c r="H336" s="154">
        <f t="shared" si="15"/>
        <v>0</v>
      </c>
      <c r="I336" s="86"/>
    </row>
    <row r="337" spans="1:9" s="48" customFormat="1" ht="30">
      <c r="A337" s="355" t="s">
        <v>114</v>
      </c>
      <c r="B337" s="152" t="s">
        <v>193</v>
      </c>
      <c r="C337" s="151" t="s">
        <v>186</v>
      </c>
      <c r="D337" s="152" t="s">
        <v>235</v>
      </c>
      <c r="E337" s="160"/>
      <c r="F337" s="152"/>
      <c r="G337" s="180">
        <f t="shared" si="15"/>
        <v>750</v>
      </c>
      <c r="H337" s="154">
        <f t="shared" si="15"/>
        <v>0</v>
      </c>
      <c r="I337" s="86"/>
    </row>
    <row r="338" spans="1:9" s="48" customFormat="1" ht="15.75">
      <c r="A338" s="355" t="s">
        <v>168</v>
      </c>
      <c r="B338" s="152" t="s">
        <v>193</v>
      </c>
      <c r="C338" s="151" t="s">
        <v>186</v>
      </c>
      <c r="D338" s="152" t="s">
        <v>235</v>
      </c>
      <c r="E338" s="160" t="s">
        <v>51</v>
      </c>
      <c r="F338" s="152"/>
      <c r="G338" s="180">
        <f>'Прилож №3'!H226</f>
        <v>750</v>
      </c>
      <c r="H338" s="154">
        <f>'Прилож №3'!I226</f>
        <v>0</v>
      </c>
      <c r="I338" s="86"/>
    </row>
    <row r="339" spans="1:9" s="48" customFormat="1" ht="15.75">
      <c r="A339" s="362" t="s">
        <v>96</v>
      </c>
      <c r="B339" s="156" t="s">
        <v>193</v>
      </c>
      <c r="C339" s="155" t="s">
        <v>191</v>
      </c>
      <c r="D339" s="156"/>
      <c r="E339" s="155"/>
      <c r="F339" s="198"/>
      <c r="G339" s="179">
        <f>G343+G360+G340+G356</f>
        <v>90750.1</v>
      </c>
      <c r="H339" s="158">
        <f>H343+H360</f>
        <v>75098</v>
      </c>
      <c r="I339" s="86"/>
    </row>
    <row r="340" spans="1:9" s="48" customFormat="1" ht="15.75">
      <c r="A340" s="355" t="s">
        <v>393</v>
      </c>
      <c r="B340" s="152" t="s">
        <v>193</v>
      </c>
      <c r="C340" s="151" t="s">
        <v>191</v>
      </c>
      <c r="D340" s="152" t="s">
        <v>394</v>
      </c>
      <c r="E340" s="151"/>
      <c r="F340" s="198"/>
      <c r="G340" s="180">
        <f>G341</f>
        <v>2072.5</v>
      </c>
      <c r="H340" s="158"/>
      <c r="I340" s="86"/>
    </row>
    <row r="341" spans="1:9" s="48" customFormat="1" ht="15.75">
      <c r="A341" s="190" t="s">
        <v>395</v>
      </c>
      <c r="B341" s="152" t="s">
        <v>193</v>
      </c>
      <c r="C341" s="151" t="s">
        <v>191</v>
      </c>
      <c r="D341" s="152" t="s">
        <v>396</v>
      </c>
      <c r="E341" s="151"/>
      <c r="F341" s="198"/>
      <c r="G341" s="180">
        <f>G342</f>
        <v>2072.5</v>
      </c>
      <c r="H341" s="158"/>
      <c r="I341" s="86"/>
    </row>
    <row r="342" spans="1:9" s="48" customFormat="1" ht="15.75">
      <c r="A342" s="190" t="s">
        <v>168</v>
      </c>
      <c r="B342" s="152" t="s">
        <v>193</v>
      </c>
      <c r="C342" s="151" t="s">
        <v>191</v>
      </c>
      <c r="D342" s="152" t="s">
        <v>396</v>
      </c>
      <c r="E342" s="151" t="s">
        <v>51</v>
      </c>
      <c r="F342" s="198"/>
      <c r="G342" s="180">
        <f>'Прилож №3'!H230</f>
        <v>2072.5</v>
      </c>
      <c r="H342" s="158"/>
      <c r="I342" s="86"/>
    </row>
    <row r="343" spans="1:9" s="48" customFormat="1" ht="15.75">
      <c r="A343" s="190" t="s">
        <v>236</v>
      </c>
      <c r="B343" s="152" t="s">
        <v>193</v>
      </c>
      <c r="C343" s="151" t="s">
        <v>191</v>
      </c>
      <c r="D343" s="152" t="s">
        <v>90</v>
      </c>
      <c r="E343" s="151"/>
      <c r="F343" s="199"/>
      <c r="G343" s="180">
        <f>G344+G347+G354+G349+G351+G353</f>
        <v>85756.3</v>
      </c>
      <c r="H343" s="154">
        <f>H344+H347+H354+H349+H351+H353</f>
        <v>75098</v>
      </c>
      <c r="I343" s="86"/>
    </row>
    <row r="344" spans="1:9" s="48" customFormat="1" ht="15.75">
      <c r="A344" s="190" t="s">
        <v>237</v>
      </c>
      <c r="B344" s="152" t="s">
        <v>193</v>
      </c>
      <c r="C344" s="151" t="s">
        <v>191</v>
      </c>
      <c r="D344" s="152" t="s">
        <v>238</v>
      </c>
      <c r="E344" s="151"/>
      <c r="F344" s="199">
        <v>483</v>
      </c>
      <c r="G344" s="180">
        <f>G345</f>
        <v>2450</v>
      </c>
      <c r="H344" s="154">
        <f>H345</f>
        <v>0</v>
      </c>
      <c r="I344" s="86"/>
    </row>
    <row r="345" spans="1:9" s="48" customFormat="1" ht="30">
      <c r="A345" s="355" t="s">
        <v>239</v>
      </c>
      <c r="B345" s="152" t="s">
        <v>193</v>
      </c>
      <c r="C345" s="151" t="s">
        <v>191</v>
      </c>
      <c r="D345" s="152" t="s">
        <v>240</v>
      </c>
      <c r="E345" s="151"/>
      <c r="F345" s="199"/>
      <c r="G345" s="180">
        <f>G346</f>
        <v>2450</v>
      </c>
      <c r="H345" s="154">
        <f>H346</f>
        <v>0</v>
      </c>
      <c r="I345" s="86"/>
    </row>
    <row r="346" spans="1:9" s="48" customFormat="1" ht="15.75">
      <c r="A346" s="190" t="s">
        <v>168</v>
      </c>
      <c r="B346" s="152" t="s">
        <v>193</v>
      </c>
      <c r="C346" s="151" t="s">
        <v>191</v>
      </c>
      <c r="D346" s="152" t="s">
        <v>240</v>
      </c>
      <c r="E346" s="151" t="s">
        <v>51</v>
      </c>
      <c r="F346" s="199"/>
      <c r="G346" s="180">
        <f>'Прилож №3'!H238</f>
        <v>2450</v>
      </c>
      <c r="H346" s="154">
        <f>'Прилож №3'!I238</f>
        <v>0</v>
      </c>
      <c r="I346" s="86"/>
    </row>
    <row r="347" spans="1:9" s="48" customFormat="1" ht="30">
      <c r="A347" s="355" t="s">
        <v>144</v>
      </c>
      <c r="B347" s="152" t="s">
        <v>193</v>
      </c>
      <c r="C347" s="151" t="s">
        <v>191</v>
      </c>
      <c r="D347" s="152" t="s">
        <v>241</v>
      </c>
      <c r="E347" s="151"/>
      <c r="F347" s="199"/>
      <c r="G347" s="180">
        <f>G348</f>
        <v>50036.3</v>
      </c>
      <c r="H347" s="154">
        <f>H348</f>
        <v>46732</v>
      </c>
      <c r="I347" s="86"/>
    </row>
    <row r="348" spans="1:9" s="48" customFormat="1" ht="13.5" customHeight="1">
      <c r="A348" s="355" t="s">
        <v>168</v>
      </c>
      <c r="B348" s="152" t="s">
        <v>193</v>
      </c>
      <c r="C348" s="151" t="s">
        <v>191</v>
      </c>
      <c r="D348" s="152" t="s">
        <v>241</v>
      </c>
      <c r="E348" s="151" t="s">
        <v>51</v>
      </c>
      <c r="F348" s="199">
        <v>572</v>
      </c>
      <c r="G348" s="180">
        <f>'Прилож №3'!H240</f>
        <v>50036.3</v>
      </c>
      <c r="H348" s="154">
        <f>'Прилож №3'!I240</f>
        <v>46732</v>
      </c>
      <c r="I348" s="86"/>
    </row>
    <row r="349" spans="1:9" s="48" customFormat="1" ht="42" customHeight="1">
      <c r="A349" s="291" t="s">
        <v>412</v>
      </c>
      <c r="B349" s="152" t="s">
        <v>193</v>
      </c>
      <c r="C349" s="151" t="s">
        <v>191</v>
      </c>
      <c r="D349" s="152" t="s">
        <v>413</v>
      </c>
      <c r="E349" s="171"/>
      <c r="F349" s="200"/>
      <c r="G349" s="184">
        <f>G350</f>
        <v>4904</v>
      </c>
      <c r="H349" s="173">
        <f>H350</f>
        <v>0</v>
      </c>
      <c r="I349" s="86"/>
    </row>
    <row r="350" spans="1:9" s="48" customFormat="1" ht="13.5" customHeight="1">
      <c r="A350" s="269" t="s">
        <v>168</v>
      </c>
      <c r="B350" s="416" t="s">
        <v>193</v>
      </c>
      <c r="C350" s="151" t="s">
        <v>191</v>
      </c>
      <c r="D350" s="152" t="s">
        <v>413</v>
      </c>
      <c r="E350" s="151" t="s">
        <v>51</v>
      </c>
      <c r="F350" s="199"/>
      <c r="G350" s="180">
        <f>'Прилож №3'!H466</f>
        <v>4904</v>
      </c>
      <c r="H350" s="154">
        <f>'Прилож №3'!I466</f>
        <v>0</v>
      </c>
      <c r="I350" s="86"/>
    </row>
    <row r="351" spans="1:9" s="48" customFormat="1" ht="41.25" customHeight="1">
      <c r="A351" s="414" t="s">
        <v>464</v>
      </c>
      <c r="B351" s="415" t="s">
        <v>193</v>
      </c>
      <c r="C351" s="410" t="s">
        <v>191</v>
      </c>
      <c r="D351" s="233" t="s">
        <v>465</v>
      </c>
      <c r="E351" s="410"/>
      <c r="F351" s="411"/>
      <c r="G351" s="412">
        <f>'Прилож №3'!H467</f>
        <v>21647</v>
      </c>
      <c r="H351" s="413">
        <f>'Прилож №3'!I467</f>
        <v>21647</v>
      </c>
      <c r="I351" s="86"/>
    </row>
    <row r="352" spans="1:9" s="48" customFormat="1" ht="16.5" customHeight="1" thickBot="1">
      <c r="A352" s="269" t="s">
        <v>168</v>
      </c>
      <c r="B352" s="161" t="s">
        <v>193</v>
      </c>
      <c r="C352" s="151" t="s">
        <v>191</v>
      </c>
      <c r="D352" s="152" t="s">
        <v>466</v>
      </c>
      <c r="E352" s="151" t="s">
        <v>51</v>
      </c>
      <c r="F352" s="199"/>
      <c r="G352" s="180">
        <f>'Прилож №3'!H468</f>
        <v>21647</v>
      </c>
      <c r="H352" s="154">
        <f>'Прилож №3'!I468</f>
        <v>21647</v>
      </c>
      <c r="I352" s="86"/>
    </row>
    <row r="353" spans="1:9" s="48" customFormat="1" ht="46.5" customHeight="1" thickBot="1">
      <c r="A353" s="109" t="s">
        <v>468</v>
      </c>
      <c r="B353" s="425" t="s">
        <v>193</v>
      </c>
      <c r="C353" s="171" t="s">
        <v>191</v>
      </c>
      <c r="D353" s="172" t="s">
        <v>469</v>
      </c>
      <c r="E353" s="171" t="s">
        <v>51</v>
      </c>
      <c r="F353" s="200"/>
      <c r="G353" s="184">
        <f>'Прилож №3'!H469</f>
        <v>1547</v>
      </c>
      <c r="H353" s="173">
        <f>'Прилож №3'!I469</f>
        <v>1547</v>
      </c>
      <c r="I353" s="86"/>
    </row>
    <row r="354" spans="1:9" s="48" customFormat="1" ht="45" customHeight="1">
      <c r="A354" s="369" t="s">
        <v>477</v>
      </c>
      <c r="B354" s="172" t="s">
        <v>193</v>
      </c>
      <c r="C354" s="171" t="s">
        <v>191</v>
      </c>
      <c r="D354" s="172" t="s">
        <v>245</v>
      </c>
      <c r="E354" s="171"/>
      <c r="F354" s="200"/>
      <c r="G354" s="184">
        <f>G355</f>
        <v>5172</v>
      </c>
      <c r="H354" s="173">
        <f>H355</f>
        <v>5172</v>
      </c>
      <c r="I354" s="86"/>
    </row>
    <row r="355" spans="1:9" s="48" customFormat="1" ht="13.5" customHeight="1">
      <c r="A355" s="369" t="s">
        <v>209</v>
      </c>
      <c r="B355" s="152" t="s">
        <v>193</v>
      </c>
      <c r="C355" s="171" t="s">
        <v>191</v>
      </c>
      <c r="D355" s="152" t="s">
        <v>245</v>
      </c>
      <c r="E355" s="171" t="s">
        <v>67</v>
      </c>
      <c r="F355" s="200"/>
      <c r="G355" s="184">
        <f>'Прилож №3'!H471</f>
        <v>5172</v>
      </c>
      <c r="H355" s="173">
        <f>'Прилож №3'!I471</f>
        <v>5172</v>
      </c>
      <c r="I355" s="86"/>
    </row>
    <row r="356" spans="1:9" s="48" customFormat="1" ht="13.5" customHeight="1">
      <c r="A356" s="369" t="s">
        <v>399</v>
      </c>
      <c r="B356" s="152" t="s">
        <v>193</v>
      </c>
      <c r="C356" s="171" t="s">
        <v>191</v>
      </c>
      <c r="D356" s="172" t="s">
        <v>400</v>
      </c>
      <c r="E356" s="171"/>
      <c r="F356" s="200"/>
      <c r="G356" s="184">
        <f>G357</f>
        <v>1213.5</v>
      </c>
      <c r="H356" s="173"/>
      <c r="I356" s="86"/>
    </row>
    <row r="357" spans="1:9" s="48" customFormat="1" ht="13.5" customHeight="1">
      <c r="A357" s="369" t="s">
        <v>401</v>
      </c>
      <c r="B357" s="152" t="s">
        <v>193</v>
      </c>
      <c r="C357" s="171" t="s">
        <v>191</v>
      </c>
      <c r="D357" s="172" t="s">
        <v>402</v>
      </c>
      <c r="E357" s="171"/>
      <c r="F357" s="200"/>
      <c r="G357" s="184">
        <f>G358</f>
        <v>1213.5</v>
      </c>
      <c r="H357" s="173"/>
      <c r="I357" s="86"/>
    </row>
    <row r="358" spans="1:9" s="48" customFormat="1" ht="13.5" customHeight="1">
      <c r="A358" s="369" t="s">
        <v>395</v>
      </c>
      <c r="B358" s="152" t="s">
        <v>193</v>
      </c>
      <c r="C358" s="171" t="s">
        <v>191</v>
      </c>
      <c r="D358" s="172" t="s">
        <v>403</v>
      </c>
      <c r="E358" s="171"/>
      <c r="F358" s="200"/>
      <c r="G358" s="184">
        <f>G359</f>
        <v>1213.5</v>
      </c>
      <c r="H358" s="173"/>
      <c r="I358" s="86"/>
    </row>
    <row r="359" spans="1:9" s="48" customFormat="1" ht="13.5" customHeight="1">
      <c r="A359" s="369" t="s">
        <v>397</v>
      </c>
      <c r="B359" s="152" t="s">
        <v>193</v>
      </c>
      <c r="C359" s="171" t="s">
        <v>191</v>
      </c>
      <c r="D359" s="172" t="s">
        <v>403</v>
      </c>
      <c r="E359" s="171" t="s">
        <v>398</v>
      </c>
      <c r="F359" s="200"/>
      <c r="G359" s="184">
        <f>'Прилож №3'!H234</f>
        <v>1213.5</v>
      </c>
      <c r="H359" s="173"/>
      <c r="I359" s="86"/>
    </row>
    <row r="360" spans="1:9" s="48" customFormat="1" ht="15" customHeight="1">
      <c r="A360" s="190" t="s">
        <v>131</v>
      </c>
      <c r="B360" s="152" t="s">
        <v>193</v>
      </c>
      <c r="C360" s="171" t="s">
        <v>191</v>
      </c>
      <c r="D360" s="172" t="s">
        <v>132</v>
      </c>
      <c r="E360" s="171"/>
      <c r="F360" s="200"/>
      <c r="G360" s="184">
        <f>G361+G363</f>
        <v>1707.8</v>
      </c>
      <c r="H360" s="154">
        <f>H361</f>
        <v>0</v>
      </c>
      <c r="I360" s="86"/>
    </row>
    <row r="361" spans="1:9" s="48" customFormat="1" ht="27" customHeight="1">
      <c r="A361" s="355" t="s">
        <v>374</v>
      </c>
      <c r="B361" s="152" t="s">
        <v>193</v>
      </c>
      <c r="C361" s="171" t="s">
        <v>191</v>
      </c>
      <c r="D361" s="172" t="s">
        <v>248</v>
      </c>
      <c r="E361" s="171"/>
      <c r="F361" s="200"/>
      <c r="G361" s="184">
        <f>G362</f>
        <v>1324</v>
      </c>
      <c r="H361" s="154">
        <f>H362</f>
        <v>0</v>
      </c>
      <c r="I361" s="86"/>
    </row>
    <row r="362" spans="1:9" s="48" customFormat="1" ht="15" customHeight="1">
      <c r="A362" s="357" t="s">
        <v>146</v>
      </c>
      <c r="B362" s="152" t="s">
        <v>193</v>
      </c>
      <c r="C362" s="171" t="s">
        <v>191</v>
      </c>
      <c r="D362" s="172" t="s">
        <v>248</v>
      </c>
      <c r="E362" s="171" t="s">
        <v>278</v>
      </c>
      <c r="F362" s="200"/>
      <c r="G362" s="184">
        <f>'Прилож №3'!H243</f>
        <v>1324</v>
      </c>
      <c r="H362" s="154">
        <f>'Прилож №3'!I243</f>
        <v>0</v>
      </c>
      <c r="I362" s="86"/>
    </row>
    <row r="363" spans="1:9" s="48" customFormat="1" ht="31.5" customHeight="1">
      <c r="A363" s="355" t="s">
        <v>356</v>
      </c>
      <c r="B363" s="152" t="s">
        <v>193</v>
      </c>
      <c r="C363" s="171" t="s">
        <v>191</v>
      </c>
      <c r="D363" s="172" t="s">
        <v>299</v>
      </c>
      <c r="E363" s="171"/>
      <c r="F363" s="200"/>
      <c r="G363" s="234">
        <f>G364</f>
        <v>383.8</v>
      </c>
      <c r="H363" s="154"/>
      <c r="I363" s="86"/>
    </row>
    <row r="364" spans="1:9" s="48" customFormat="1" ht="15" customHeight="1">
      <c r="A364" s="357" t="s">
        <v>146</v>
      </c>
      <c r="B364" s="152" t="s">
        <v>193</v>
      </c>
      <c r="C364" s="171" t="s">
        <v>191</v>
      </c>
      <c r="D364" s="172" t="s">
        <v>299</v>
      </c>
      <c r="E364" s="171" t="s">
        <v>278</v>
      </c>
      <c r="F364" s="200"/>
      <c r="G364" s="234">
        <f>'Прилож №3'!H245</f>
        <v>383.8</v>
      </c>
      <c r="H364" s="154"/>
      <c r="I364" s="86"/>
    </row>
    <row r="365" spans="1:9" s="48" customFormat="1" ht="15" customHeight="1">
      <c r="A365" s="269" t="s">
        <v>327</v>
      </c>
      <c r="B365" s="152" t="s">
        <v>193</v>
      </c>
      <c r="C365" s="171" t="s">
        <v>188</v>
      </c>
      <c r="D365" s="172"/>
      <c r="E365" s="171"/>
      <c r="F365" s="200"/>
      <c r="G365" s="176">
        <f aca="true" t="shared" si="16" ref="G365:H367">G366</f>
        <v>9901.3</v>
      </c>
      <c r="H365" s="154">
        <f t="shared" si="16"/>
        <v>9352.5</v>
      </c>
      <c r="I365" s="86"/>
    </row>
    <row r="366" spans="1:9" s="48" customFormat="1" ht="15" customHeight="1">
      <c r="A366" s="325" t="s">
        <v>125</v>
      </c>
      <c r="B366" s="152" t="s">
        <v>193</v>
      </c>
      <c r="C366" s="171" t="s">
        <v>188</v>
      </c>
      <c r="D366" s="172" t="s">
        <v>95</v>
      </c>
      <c r="E366" s="171"/>
      <c r="F366" s="200"/>
      <c r="G366" s="176">
        <f t="shared" si="16"/>
        <v>9901.3</v>
      </c>
      <c r="H366" s="154">
        <f t="shared" si="16"/>
        <v>9352.5</v>
      </c>
      <c r="I366" s="86"/>
    </row>
    <row r="367" spans="1:9" s="48" customFormat="1" ht="56.25" customHeight="1">
      <c r="A367" s="372" t="s">
        <v>282</v>
      </c>
      <c r="B367" s="152" t="s">
        <v>193</v>
      </c>
      <c r="C367" s="171" t="s">
        <v>188</v>
      </c>
      <c r="D367" s="172" t="s">
        <v>281</v>
      </c>
      <c r="E367" s="171"/>
      <c r="F367" s="200"/>
      <c r="G367" s="176">
        <f t="shared" si="16"/>
        <v>9901.3</v>
      </c>
      <c r="H367" s="154">
        <f t="shared" si="16"/>
        <v>9352.5</v>
      </c>
      <c r="I367" s="86"/>
    </row>
    <row r="368" spans="1:9" s="48" customFormat="1" ht="15" customHeight="1">
      <c r="A368" s="268" t="s">
        <v>168</v>
      </c>
      <c r="B368" s="152" t="s">
        <v>193</v>
      </c>
      <c r="C368" s="171" t="s">
        <v>188</v>
      </c>
      <c r="D368" s="172" t="s">
        <v>281</v>
      </c>
      <c r="E368" s="171" t="s">
        <v>51</v>
      </c>
      <c r="F368" s="200"/>
      <c r="G368" s="176">
        <f>'Прилож №3'!H309</f>
        <v>9901.3</v>
      </c>
      <c r="H368" s="154">
        <f>'Прилож №3'!I309</f>
        <v>9352.5</v>
      </c>
      <c r="I368" s="86"/>
    </row>
    <row r="369" spans="1:9" s="48" customFormat="1" ht="15.75">
      <c r="A369" s="362" t="s">
        <v>130</v>
      </c>
      <c r="B369" s="156" t="s">
        <v>193</v>
      </c>
      <c r="C369" s="155" t="s">
        <v>205</v>
      </c>
      <c r="D369" s="156"/>
      <c r="E369" s="155"/>
      <c r="F369" s="157"/>
      <c r="G369" s="201">
        <f aca="true" t="shared" si="17" ref="G369:H371">G370</f>
        <v>4630</v>
      </c>
      <c r="H369" s="158">
        <f t="shared" si="17"/>
        <v>0</v>
      </c>
      <c r="I369" s="86"/>
    </row>
    <row r="370" spans="1:9" s="48" customFormat="1" ht="15.75">
      <c r="A370" s="190" t="s">
        <v>131</v>
      </c>
      <c r="B370" s="152" t="s">
        <v>193</v>
      </c>
      <c r="C370" s="151" t="s">
        <v>205</v>
      </c>
      <c r="D370" s="152" t="s">
        <v>132</v>
      </c>
      <c r="E370" s="151"/>
      <c r="F370" s="153"/>
      <c r="G370" s="176">
        <f t="shared" si="17"/>
        <v>4630</v>
      </c>
      <c r="H370" s="154">
        <f t="shared" si="17"/>
        <v>0</v>
      </c>
      <c r="I370" s="86"/>
    </row>
    <row r="371" spans="1:9" s="48" customFormat="1" ht="30" customHeight="1">
      <c r="A371" s="355" t="s">
        <v>246</v>
      </c>
      <c r="B371" s="152" t="s">
        <v>193</v>
      </c>
      <c r="C371" s="151" t="s">
        <v>205</v>
      </c>
      <c r="D371" s="152" t="s">
        <v>247</v>
      </c>
      <c r="E371" s="151"/>
      <c r="F371" s="153"/>
      <c r="G371" s="176">
        <f>G372</f>
        <v>4630</v>
      </c>
      <c r="H371" s="154">
        <f t="shared" si="17"/>
        <v>0</v>
      </c>
      <c r="I371" s="86"/>
    </row>
    <row r="372" spans="1:10" s="48" customFormat="1" ht="16.5" thickBot="1">
      <c r="A372" s="363" t="s">
        <v>146</v>
      </c>
      <c r="B372" s="161" t="s">
        <v>193</v>
      </c>
      <c r="C372" s="160" t="s">
        <v>205</v>
      </c>
      <c r="D372" s="161" t="s">
        <v>247</v>
      </c>
      <c r="E372" s="160" t="s">
        <v>278</v>
      </c>
      <c r="F372" s="380"/>
      <c r="G372" s="202">
        <f>'Прилож №3'!H249+'Прилож №3'!H386</f>
        <v>4630</v>
      </c>
      <c r="H372" s="326">
        <f>'Прилож №3'!I249</f>
        <v>0</v>
      </c>
      <c r="I372" s="86"/>
      <c r="J372" s="203"/>
    </row>
    <row r="373" spans="1:9" s="48" customFormat="1" ht="16.5" thickBot="1">
      <c r="A373" s="371" t="s">
        <v>74</v>
      </c>
      <c r="B373" s="164"/>
      <c r="C373" s="163"/>
      <c r="D373" s="164"/>
      <c r="E373" s="163"/>
      <c r="F373" s="164"/>
      <c r="G373" s="175">
        <f>G13+G55+G60+G94+G117+G185+G190+G247+G276+G334</f>
        <v>2245487.6999999997</v>
      </c>
      <c r="H373" s="165">
        <f>H13+H55+H60+H94+H117+H185+H190+H247+H276+H334</f>
        <v>555860.3</v>
      </c>
      <c r="I373" s="86"/>
    </row>
  </sheetData>
  <mergeCells count="2">
    <mergeCell ref="A8:H8"/>
    <mergeCell ref="A9:H9"/>
  </mergeCells>
  <printOptions horizontalCentered="1"/>
  <pageMargins left="0.2755905511811024" right="0.2362204724409449" top="0.1968503937007874" bottom="0.2362204724409449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1"/>
  <sheetViews>
    <sheetView tabSelected="1" workbookViewId="0" topLeftCell="A1">
      <selection activeCell="N21" sqref="N20:N21"/>
    </sheetView>
  </sheetViews>
  <sheetFormatPr defaultColWidth="8.796875" defaultRowHeight="15"/>
  <cols>
    <col min="1" max="1" width="56.59765625" style="0" customWidth="1"/>
    <col min="2" max="2" width="5.19921875" style="1" customWidth="1"/>
    <col min="3" max="3" width="6.3984375" style="1" customWidth="1"/>
    <col min="4" max="4" width="6.19921875" style="1" customWidth="1"/>
    <col min="5" max="5" width="9" style="1" customWidth="1"/>
    <col min="6" max="6" width="0.1015625" style="1" hidden="1" customWidth="1"/>
    <col min="7" max="7" width="5.59765625" style="54" customWidth="1"/>
    <col min="8" max="8" width="10.09765625" style="2" customWidth="1"/>
    <col min="9" max="9" width="11.09765625" style="2" customWidth="1"/>
  </cols>
  <sheetData>
    <row r="1" ht="15.75">
      <c r="I1" s="426" t="s">
        <v>478</v>
      </c>
    </row>
    <row r="2" ht="15.75">
      <c r="I2" s="426" t="s">
        <v>268</v>
      </c>
    </row>
    <row r="3" ht="15.75">
      <c r="I3" s="426" t="s">
        <v>490</v>
      </c>
    </row>
    <row r="4" spans="8:9" ht="15.75">
      <c r="H4" s="136"/>
      <c r="I4" s="426" t="s">
        <v>479</v>
      </c>
    </row>
    <row r="5" ht="15.75">
      <c r="I5" s="426" t="s">
        <v>268</v>
      </c>
    </row>
    <row r="6" spans="1:9" ht="15.75">
      <c r="A6" s="3"/>
      <c r="B6" s="4"/>
      <c r="C6" s="4"/>
      <c r="D6" s="4"/>
      <c r="E6" s="4"/>
      <c r="F6" s="4"/>
      <c r="I6" s="426" t="s">
        <v>480</v>
      </c>
    </row>
    <row r="7" spans="1:9" ht="22.5" customHeight="1">
      <c r="A7" s="431" t="s">
        <v>488</v>
      </c>
      <c r="B7" s="431"/>
      <c r="C7" s="431"/>
      <c r="D7" s="431"/>
      <c r="E7" s="431"/>
      <c r="F7" s="431"/>
      <c r="G7" s="431"/>
      <c r="H7" s="431"/>
      <c r="I7" s="431"/>
    </row>
    <row r="8" spans="1:9" ht="16.5" thickBot="1">
      <c r="A8" s="2"/>
      <c r="B8" s="4"/>
      <c r="C8" s="4"/>
      <c r="D8" s="4"/>
      <c r="E8" s="4"/>
      <c r="F8" s="4"/>
      <c r="I8" s="139" t="s">
        <v>489</v>
      </c>
    </row>
    <row r="9" spans="1:9" ht="15.75">
      <c r="A9" s="80" t="s">
        <v>0</v>
      </c>
      <c r="B9" s="210" t="s">
        <v>56</v>
      </c>
      <c r="C9" s="64" t="s">
        <v>57</v>
      </c>
      <c r="D9" s="65" t="s">
        <v>63</v>
      </c>
      <c r="E9" s="64" t="s">
        <v>61</v>
      </c>
      <c r="F9" s="65"/>
      <c r="G9" s="216" t="s">
        <v>59</v>
      </c>
      <c r="H9" s="62" t="s">
        <v>60</v>
      </c>
      <c r="I9" s="219" t="s">
        <v>89</v>
      </c>
    </row>
    <row r="10" spans="1:9" ht="33.75" customHeight="1" thickBot="1">
      <c r="A10" s="61"/>
      <c r="B10" s="211"/>
      <c r="C10" s="81"/>
      <c r="D10" s="66" t="s">
        <v>64</v>
      </c>
      <c r="E10" s="81" t="s">
        <v>58</v>
      </c>
      <c r="F10" s="66"/>
      <c r="G10" s="217"/>
      <c r="H10" s="63"/>
      <c r="I10" s="220" t="s">
        <v>249</v>
      </c>
    </row>
    <row r="11" spans="1:9" ht="19.5" thickBot="1">
      <c r="A11" s="79" t="s">
        <v>55</v>
      </c>
      <c r="B11" s="28" t="s">
        <v>86</v>
      </c>
      <c r="C11" s="21"/>
      <c r="D11" s="13"/>
      <c r="E11" s="21"/>
      <c r="F11" s="13"/>
      <c r="G11" s="55"/>
      <c r="H11" s="39">
        <f>H12+H42+H47+H64+H87+H160+H165+H190+H198+H222</f>
        <v>765112.2999999999</v>
      </c>
      <c r="I11" s="221">
        <f>I12+I42+I47+I64+I87+I160+I165+I190+I198+I222</f>
        <v>247836.3</v>
      </c>
    </row>
    <row r="12" spans="1:9" ht="15.75">
      <c r="A12" s="159" t="s">
        <v>17</v>
      </c>
      <c r="B12" s="105" t="s">
        <v>86</v>
      </c>
      <c r="C12" s="17" t="s">
        <v>186</v>
      </c>
      <c r="D12" s="32" t="s">
        <v>126</v>
      </c>
      <c r="E12" s="17"/>
      <c r="F12" s="99"/>
      <c r="G12" s="91"/>
      <c r="H12" s="40">
        <f>H13+H23+H31+H35+H17+H27</f>
        <v>107502.40000000001</v>
      </c>
      <c r="I12" s="40">
        <f>I13+I23+I31+I35+I17+I27</f>
        <v>5147</v>
      </c>
    </row>
    <row r="13" spans="1:9" s="23" customFormat="1" ht="26.25">
      <c r="A13" s="128" t="s">
        <v>102</v>
      </c>
      <c r="B13" s="14" t="s">
        <v>86</v>
      </c>
      <c r="C13" s="34" t="s">
        <v>186</v>
      </c>
      <c r="D13" s="45" t="s">
        <v>187</v>
      </c>
      <c r="E13" s="34"/>
      <c r="F13" s="45"/>
      <c r="G13" s="129"/>
      <c r="H13" s="112">
        <f>H14</f>
        <v>1577.3</v>
      </c>
      <c r="I13" s="130">
        <f>I14</f>
        <v>0</v>
      </c>
    </row>
    <row r="14" spans="1:9" s="48" customFormat="1" ht="39">
      <c r="A14" s="68" t="s">
        <v>301</v>
      </c>
      <c r="B14" s="72" t="s">
        <v>86</v>
      </c>
      <c r="C14" s="73" t="s">
        <v>186</v>
      </c>
      <c r="D14" s="74" t="s">
        <v>187</v>
      </c>
      <c r="E14" s="73" t="s">
        <v>277</v>
      </c>
      <c r="F14" s="74"/>
      <c r="G14" s="75"/>
      <c r="H14" s="71">
        <f>H16</f>
        <v>1577.3</v>
      </c>
      <c r="I14" s="82">
        <f>I16</f>
        <v>0</v>
      </c>
    </row>
    <row r="15" spans="1:9" s="48" customFormat="1" ht="15.75">
      <c r="A15" s="69" t="s">
        <v>302</v>
      </c>
      <c r="B15" s="72" t="s">
        <v>86</v>
      </c>
      <c r="C15" s="73" t="s">
        <v>186</v>
      </c>
      <c r="D15" s="74" t="s">
        <v>187</v>
      </c>
      <c r="E15" s="73" t="s">
        <v>303</v>
      </c>
      <c r="F15" s="74"/>
      <c r="G15" s="75"/>
      <c r="H15" s="71">
        <f>H16</f>
        <v>1577.3</v>
      </c>
      <c r="I15" s="71">
        <f>I16</f>
        <v>0</v>
      </c>
    </row>
    <row r="16" spans="1:9" s="48" customFormat="1" ht="15.75">
      <c r="A16" s="70" t="s">
        <v>146</v>
      </c>
      <c r="B16" s="72" t="s">
        <v>86</v>
      </c>
      <c r="C16" s="73" t="s">
        <v>186</v>
      </c>
      <c r="D16" s="74" t="s">
        <v>187</v>
      </c>
      <c r="E16" s="73" t="s">
        <v>303</v>
      </c>
      <c r="F16" s="74"/>
      <c r="G16" s="75" t="s">
        <v>278</v>
      </c>
      <c r="H16" s="71">
        <f>1907.3-330</f>
        <v>1577.3</v>
      </c>
      <c r="I16" s="82"/>
    </row>
    <row r="17" spans="1:9" s="23" customFormat="1" ht="39">
      <c r="A17" s="128" t="s">
        <v>305</v>
      </c>
      <c r="B17" s="106" t="s">
        <v>86</v>
      </c>
      <c r="C17" s="103" t="s">
        <v>186</v>
      </c>
      <c r="D17" s="115" t="s">
        <v>191</v>
      </c>
      <c r="E17" s="103"/>
      <c r="F17" s="115"/>
      <c r="G17" s="125"/>
      <c r="H17" s="84">
        <f>H18</f>
        <v>0</v>
      </c>
      <c r="I17" s="84">
        <f>I18</f>
        <v>0</v>
      </c>
    </row>
    <row r="18" spans="1:9" s="48" customFormat="1" ht="39">
      <c r="A18" s="68" t="s">
        <v>301</v>
      </c>
      <c r="B18" s="72" t="s">
        <v>86</v>
      </c>
      <c r="C18" s="73" t="s">
        <v>186</v>
      </c>
      <c r="D18" s="74" t="s">
        <v>191</v>
      </c>
      <c r="E18" s="73" t="s">
        <v>277</v>
      </c>
      <c r="F18" s="74"/>
      <c r="G18" s="75"/>
      <c r="H18" s="71">
        <f>H19+H21</f>
        <v>0</v>
      </c>
      <c r="I18" s="71">
        <f>I19+I21</f>
        <v>0</v>
      </c>
    </row>
    <row r="19" spans="1:9" s="48" customFormat="1" ht="15.75">
      <c r="A19" s="70" t="s">
        <v>306</v>
      </c>
      <c r="B19" s="72" t="s">
        <v>86</v>
      </c>
      <c r="C19" s="73" t="s">
        <v>186</v>
      </c>
      <c r="D19" s="74" t="s">
        <v>191</v>
      </c>
      <c r="E19" s="73" t="s">
        <v>307</v>
      </c>
      <c r="F19" s="74"/>
      <c r="G19" s="75"/>
      <c r="H19" s="71">
        <f>H20</f>
        <v>0</v>
      </c>
      <c r="I19" s="71">
        <f>I20</f>
        <v>0</v>
      </c>
    </row>
    <row r="20" spans="1:9" s="48" customFormat="1" ht="15.75">
      <c r="A20" s="70" t="s">
        <v>146</v>
      </c>
      <c r="B20" s="72" t="s">
        <v>86</v>
      </c>
      <c r="C20" s="73" t="s">
        <v>186</v>
      </c>
      <c r="D20" s="74" t="s">
        <v>191</v>
      </c>
      <c r="E20" s="73" t="s">
        <v>307</v>
      </c>
      <c r="F20" s="74"/>
      <c r="G20" s="75" t="s">
        <v>278</v>
      </c>
      <c r="H20" s="71">
        <f>1756-1756</f>
        <v>0</v>
      </c>
      <c r="I20" s="82"/>
    </row>
    <row r="21" spans="1:9" s="48" customFormat="1" ht="15.75">
      <c r="A21" s="70" t="s">
        <v>308</v>
      </c>
      <c r="B21" s="72" t="s">
        <v>86</v>
      </c>
      <c r="C21" s="73" t="s">
        <v>186</v>
      </c>
      <c r="D21" s="74" t="s">
        <v>191</v>
      </c>
      <c r="E21" s="73" t="s">
        <v>309</v>
      </c>
      <c r="F21" s="74"/>
      <c r="G21" s="75"/>
      <c r="H21" s="71">
        <f>H22</f>
        <v>0</v>
      </c>
      <c r="I21" s="71">
        <f>I22</f>
        <v>0</v>
      </c>
    </row>
    <row r="22" spans="1:9" s="48" customFormat="1" ht="15.75">
      <c r="A22" s="70" t="s">
        <v>146</v>
      </c>
      <c r="B22" s="72" t="s">
        <v>86</v>
      </c>
      <c r="C22" s="73" t="s">
        <v>186</v>
      </c>
      <c r="D22" s="74" t="s">
        <v>191</v>
      </c>
      <c r="E22" s="73" t="s">
        <v>309</v>
      </c>
      <c r="F22" s="74"/>
      <c r="G22" s="75" t="s">
        <v>278</v>
      </c>
      <c r="H22" s="71">
        <f>4344+1200-454.6-5089.4</f>
        <v>0</v>
      </c>
      <c r="I22" s="82"/>
    </row>
    <row r="23" spans="1:9" s="23" customFormat="1" ht="26.25">
      <c r="A23" s="131" t="s">
        <v>103</v>
      </c>
      <c r="B23" s="106" t="s">
        <v>86</v>
      </c>
      <c r="C23" s="103" t="s">
        <v>186</v>
      </c>
      <c r="D23" s="115" t="s">
        <v>188</v>
      </c>
      <c r="E23" s="103"/>
      <c r="F23" s="115"/>
      <c r="G23" s="125"/>
      <c r="H23" s="84">
        <f aca="true" t="shared" si="0" ref="H23:I25">H24</f>
        <v>90079.5</v>
      </c>
      <c r="I23" s="97">
        <f t="shared" si="0"/>
        <v>5147</v>
      </c>
    </row>
    <row r="24" spans="1:9" ht="39">
      <c r="A24" s="68" t="s">
        <v>301</v>
      </c>
      <c r="B24" s="72" t="s">
        <v>86</v>
      </c>
      <c r="C24" s="73" t="s">
        <v>186</v>
      </c>
      <c r="D24" s="74" t="s">
        <v>188</v>
      </c>
      <c r="E24" s="76" t="s">
        <v>277</v>
      </c>
      <c r="F24" s="67"/>
      <c r="G24" s="77"/>
      <c r="H24" s="71">
        <f t="shared" si="0"/>
        <v>90079.5</v>
      </c>
      <c r="I24" s="82">
        <f t="shared" si="0"/>
        <v>5147</v>
      </c>
    </row>
    <row r="25" spans="1:9" ht="15.75">
      <c r="A25" s="69" t="s">
        <v>50</v>
      </c>
      <c r="B25" s="72" t="s">
        <v>86</v>
      </c>
      <c r="C25" s="73" t="s">
        <v>186</v>
      </c>
      <c r="D25" s="74" t="s">
        <v>188</v>
      </c>
      <c r="E25" s="76" t="s">
        <v>279</v>
      </c>
      <c r="F25" s="67"/>
      <c r="G25" s="92"/>
      <c r="H25" s="71">
        <f t="shared" si="0"/>
        <v>90079.5</v>
      </c>
      <c r="I25" s="82">
        <f t="shared" si="0"/>
        <v>5147</v>
      </c>
    </row>
    <row r="26" spans="1:9" ht="15.75">
      <c r="A26" s="70" t="s">
        <v>146</v>
      </c>
      <c r="B26" s="72" t="s">
        <v>86</v>
      </c>
      <c r="C26" s="73" t="s">
        <v>186</v>
      </c>
      <c r="D26" s="74" t="s">
        <v>188</v>
      </c>
      <c r="E26" s="73" t="s">
        <v>279</v>
      </c>
      <c r="F26" s="74"/>
      <c r="G26" s="75" t="s">
        <v>278</v>
      </c>
      <c r="H26" s="71">
        <f>92473.7+1910+1215+2916+1000+200+240+1263+6200-1000-4030+27684+14-69-265-115-124-177-77-6497-200+2800-67-23000+998.6-12063.8-1000-150</f>
        <v>90079.5</v>
      </c>
      <c r="I26" s="82">
        <f>6041-69-265-115-124-177-77-67</f>
        <v>5147</v>
      </c>
    </row>
    <row r="27" spans="1:9" s="23" customFormat="1" ht="15.75">
      <c r="A27" s="114" t="s">
        <v>414</v>
      </c>
      <c r="B27" s="106" t="s">
        <v>86</v>
      </c>
      <c r="C27" s="103" t="s">
        <v>186</v>
      </c>
      <c r="D27" s="115" t="s">
        <v>200</v>
      </c>
      <c r="E27" s="103"/>
      <c r="F27" s="115"/>
      <c r="G27" s="290"/>
      <c r="H27" s="84">
        <f>H28</f>
        <v>38.1</v>
      </c>
      <c r="I27" s="97"/>
    </row>
    <row r="28" spans="1:9" ht="15.75">
      <c r="A28" s="70" t="s">
        <v>147</v>
      </c>
      <c r="B28" s="72" t="s">
        <v>86</v>
      </c>
      <c r="C28" s="73" t="s">
        <v>186</v>
      </c>
      <c r="D28" s="74" t="s">
        <v>200</v>
      </c>
      <c r="E28" s="73" t="s">
        <v>415</v>
      </c>
      <c r="F28" s="74"/>
      <c r="G28" s="146"/>
      <c r="H28" s="71">
        <f>H29</f>
        <v>38.1</v>
      </c>
      <c r="I28" s="82"/>
    </row>
    <row r="29" spans="1:9" ht="26.25">
      <c r="A29" s="69" t="s">
        <v>416</v>
      </c>
      <c r="B29" s="72" t="s">
        <v>86</v>
      </c>
      <c r="C29" s="73" t="s">
        <v>186</v>
      </c>
      <c r="D29" s="74" t="s">
        <v>200</v>
      </c>
      <c r="E29" s="73" t="s">
        <v>417</v>
      </c>
      <c r="F29" s="74"/>
      <c r="G29" s="146"/>
      <c r="H29" s="71">
        <f>H30</f>
        <v>38.1</v>
      </c>
      <c r="I29" s="82"/>
    </row>
    <row r="30" spans="1:9" ht="15.75">
      <c r="A30" s="70" t="s">
        <v>146</v>
      </c>
      <c r="B30" s="72" t="s">
        <v>86</v>
      </c>
      <c r="C30" s="73" t="s">
        <v>186</v>
      </c>
      <c r="D30" s="74" t="s">
        <v>200</v>
      </c>
      <c r="E30" s="73" t="s">
        <v>417</v>
      </c>
      <c r="F30" s="74" t="s">
        <v>278</v>
      </c>
      <c r="G30" s="146" t="s">
        <v>278</v>
      </c>
      <c r="H30" s="71">
        <f>46.6-8.5</f>
        <v>38.1</v>
      </c>
      <c r="I30" s="82"/>
    </row>
    <row r="31" spans="1:9" s="23" customFormat="1" ht="15.75">
      <c r="A31" s="120" t="s">
        <v>16</v>
      </c>
      <c r="B31" s="106" t="s">
        <v>86</v>
      </c>
      <c r="C31" s="103" t="s">
        <v>186</v>
      </c>
      <c r="D31" s="115" t="s">
        <v>189</v>
      </c>
      <c r="E31" s="103"/>
      <c r="F31" s="101"/>
      <c r="G31" s="95"/>
      <c r="H31" s="84">
        <f aca="true" t="shared" si="1" ref="H31:I33">H32</f>
        <v>6000</v>
      </c>
      <c r="I31" s="97">
        <f t="shared" si="1"/>
        <v>0</v>
      </c>
    </row>
    <row r="32" spans="1:9" ht="15.75">
      <c r="A32" s="26" t="s">
        <v>16</v>
      </c>
      <c r="B32" s="72" t="s">
        <v>86</v>
      </c>
      <c r="C32" s="73" t="s">
        <v>186</v>
      </c>
      <c r="D32" s="74" t="s">
        <v>189</v>
      </c>
      <c r="E32" s="73" t="s">
        <v>19</v>
      </c>
      <c r="F32" s="78"/>
      <c r="G32" s="92"/>
      <c r="H32" s="71">
        <f t="shared" si="1"/>
        <v>6000</v>
      </c>
      <c r="I32" s="82">
        <f t="shared" si="1"/>
        <v>0</v>
      </c>
    </row>
    <row r="33" spans="1:9" ht="15.75">
      <c r="A33" s="8" t="s">
        <v>149</v>
      </c>
      <c r="B33" s="72" t="s">
        <v>86</v>
      </c>
      <c r="C33" s="73" t="s">
        <v>186</v>
      </c>
      <c r="D33" s="74" t="s">
        <v>189</v>
      </c>
      <c r="E33" s="73" t="s">
        <v>150</v>
      </c>
      <c r="F33" s="78"/>
      <c r="G33" s="92"/>
      <c r="H33" s="71">
        <f t="shared" si="1"/>
        <v>6000</v>
      </c>
      <c r="I33" s="82">
        <f t="shared" si="1"/>
        <v>0</v>
      </c>
    </row>
    <row r="34" spans="1:9" ht="15.75">
      <c r="A34" s="27" t="s">
        <v>148</v>
      </c>
      <c r="B34" s="72" t="s">
        <v>86</v>
      </c>
      <c r="C34" s="73" t="s">
        <v>186</v>
      </c>
      <c r="D34" s="74" t="s">
        <v>189</v>
      </c>
      <c r="E34" s="73" t="s">
        <v>150</v>
      </c>
      <c r="F34" s="78"/>
      <c r="G34" s="92" t="s">
        <v>128</v>
      </c>
      <c r="H34" s="71">
        <f>7000-1000</f>
        <v>6000</v>
      </c>
      <c r="I34" s="82"/>
    </row>
    <row r="35" spans="1:9" s="23" customFormat="1" ht="15.75">
      <c r="A35" s="132" t="s">
        <v>80</v>
      </c>
      <c r="B35" s="106" t="s">
        <v>86</v>
      </c>
      <c r="C35" s="103" t="s">
        <v>186</v>
      </c>
      <c r="D35" s="115" t="s">
        <v>190</v>
      </c>
      <c r="E35" s="103"/>
      <c r="F35" s="101"/>
      <c r="G35" s="95"/>
      <c r="H35" s="84">
        <f>H36+H39</f>
        <v>9807.5</v>
      </c>
      <c r="I35" s="84">
        <f>I36</f>
        <v>0</v>
      </c>
    </row>
    <row r="36" spans="1:9" ht="26.25">
      <c r="A36" s="47" t="s">
        <v>204</v>
      </c>
      <c r="B36" s="43" t="s">
        <v>86</v>
      </c>
      <c r="C36" s="18" t="s">
        <v>186</v>
      </c>
      <c r="D36" s="30" t="s">
        <v>190</v>
      </c>
      <c r="E36" s="18" t="s">
        <v>138</v>
      </c>
      <c r="F36" s="7"/>
      <c r="G36" s="51"/>
      <c r="H36" s="38">
        <f>H37</f>
        <v>9307.5</v>
      </c>
      <c r="I36" s="50"/>
    </row>
    <row r="37" spans="1:9" ht="15.75">
      <c r="A37" s="90" t="s">
        <v>77</v>
      </c>
      <c r="B37" s="43" t="s">
        <v>86</v>
      </c>
      <c r="C37" s="18" t="s">
        <v>186</v>
      </c>
      <c r="D37" s="30" t="s">
        <v>190</v>
      </c>
      <c r="E37" s="18" t="s">
        <v>203</v>
      </c>
      <c r="F37" s="7"/>
      <c r="G37" s="51"/>
      <c r="H37" s="38">
        <f>H38</f>
        <v>9307.5</v>
      </c>
      <c r="I37" s="50"/>
    </row>
    <row r="38" spans="1:9" ht="15.75">
      <c r="A38" s="8" t="s">
        <v>146</v>
      </c>
      <c r="B38" s="44" t="s">
        <v>86</v>
      </c>
      <c r="C38" s="20" t="s">
        <v>186</v>
      </c>
      <c r="D38" s="31" t="s">
        <v>190</v>
      </c>
      <c r="E38" s="20" t="s">
        <v>203</v>
      </c>
      <c r="F38" s="5" t="s">
        <v>49</v>
      </c>
      <c r="G38" s="51" t="s">
        <v>278</v>
      </c>
      <c r="H38" s="38">
        <f>26077+5000-3000-25925+7155.5</f>
        <v>9307.5</v>
      </c>
      <c r="I38" s="50"/>
    </row>
    <row r="39" spans="1:9" ht="15.75">
      <c r="A39" s="8" t="s">
        <v>131</v>
      </c>
      <c r="B39" s="44" t="s">
        <v>86</v>
      </c>
      <c r="C39" s="20" t="s">
        <v>186</v>
      </c>
      <c r="D39" s="31" t="s">
        <v>190</v>
      </c>
      <c r="E39" s="20" t="s">
        <v>132</v>
      </c>
      <c r="F39" s="5"/>
      <c r="G39" s="51"/>
      <c r="H39" s="38">
        <f>H40</f>
        <v>500</v>
      </c>
      <c r="I39" s="50"/>
    </row>
    <row r="40" spans="1:9" ht="26.25">
      <c r="A40" s="121" t="s">
        <v>348</v>
      </c>
      <c r="B40" s="44" t="s">
        <v>86</v>
      </c>
      <c r="C40" s="20" t="s">
        <v>186</v>
      </c>
      <c r="D40" s="31" t="s">
        <v>190</v>
      </c>
      <c r="E40" s="20" t="s">
        <v>349</v>
      </c>
      <c r="F40" s="5"/>
      <c r="G40" s="51"/>
      <c r="H40" s="38">
        <f>H41</f>
        <v>500</v>
      </c>
      <c r="I40" s="50"/>
    </row>
    <row r="41" spans="1:9" ht="15.75">
      <c r="A41" s="70" t="s">
        <v>146</v>
      </c>
      <c r="B41" s="44" t="s">
        <v>86</v>
      </c>
      <c r="C41" s="20" t="s">
        <v>186</v>
      </c>
      <c r="D41" s="31" t="s">
        <v>190</v>
      </c>
      <c r="E41" s="20" t="s">
        <v>349</v>
      </c>
      <c r="F41" s="5"/>
      <c r="G41" s="51" t="s">
        <v>278</v>
      </c>
      <c r="H41" s="38">
        <f>5000-2000-2500</f>
        <v>500</v>
      </c>
      <c r="I41" s="50"/>
    </row>
    <row r="42" spans="1:9" ht="15.75">
      <c r="A42" s="120" t="s">
        <v>81</v>
      </c>
      <c r="B42" s="106" t="s">
        <v>86</v>
      </c>
      <c r="C42" s="103" t="s">
        <v>187</v>
      </c>
      <c r="D42" s="213" t="s">
        <v>126</v>
      </c>
      <c r="E42" s="102"/>
      <c r="F42" s="100"/>
      <c r="G42" s="93"/>
      <c r="H42" s="84">
        <f aca="true" t="shared" si="2" ref="H42:I45">H43</f>
        <v>223.29999999999995</v>
      </c>
      <c r="I42" s="97">
        <f t="shared" si="2"/>
        <v>0</v>
      </c>
    </row>
    <row r="43" spans="1:9" ht="15.75">
      <c r="A43" s="27" t="s">
        <v>82</v>
      </c>
      <c r="B43" s="42" t="s">
        <v>86</v>
      </c>
      <c r="C43" s="22" t="s">
        <v>187</v>
      </c>
      <c r="D43" s="29" t="s">
        <v>188</v>
      </c>
      <c r="E43" s="15"/>
      <c r="F43" s="10"/>
      <c r="G43" s="56"/>
      <c r="H43" s="37">
        <f t="shared" si="2"/>
        <v>223.29999999999995</v>
      </c>
      <c r="I43" s="83">
        <f t="shared" si="2"/>
        <v>0</v>
      </c>
    </row>
    <row r="44" spans="1:9" ht="26.25">
      <c r="A44" s="47" t="s">
        <v>104</v>
      </c>
      <c r="B44" s="43" t="s">
        <v>86</v>
      </c>
      <c r="C44" s="18" t="s">
        <v>187</v>
      </c>
      <c r="D44" s="30" t="s">
        <v>188</v>
      </c>
      <c r="E44" s="18" t="s">
        <v>83</v>
      </c>
      <c r="F44" s="30"/>
      <c r="G44" s="51"/>
      <c r="H44" s="38">
        <f t="shared" si="2"/>
        <v>223.29999999999995</v>
      </c>
      <c r="I44" s="49">
        <f t="shared" si="2"/>
        <v>0</v>
      </c>
    </row>
    <row r="45" spans="1:9" ht="16.5" customHeight="1">
      <c r="A45" s="109" t="s">
        <v>105</v>
      </c>
      <c r="B45" s="43" t="s">
        <v>86</v>
      </c>
      <c r="C45" s="18" t="s">
        <v>187</v>
      </c>
      <c r="D45" s="30" t="s">
        <v>188</v>
      </c>
      <c r="E45" s="18" t="s">
        <v>151</v>
      </c>
      <c r="F45" s="30"/>
      <c r="G45" s="51"/>
      <c r="H45" s="38">
        <f t="shared" si="2"/>
        <v>223.29999999999995</v>
      </c>
      <c r="I45" s="49">
        <f t="shared" si="2"/>
        <v>0</v>
      </c>
    </row>
    <row r="46" spans="1:9" ht="15.75">
      <c r="A46" s="70" t="s">
        <v>146</v>
      </c>
      <c r="B46" s="44" t="s">
        <v>86</v>
      </c>
      <c r="C46" s="20" t="s">
        <v>187</v>
      </c>
      <c r="D46" s="31" t="s">
        <v>188</v>
      </c>
      <c r="E46" s="20" t="s">
        <v>151</v>
      </c>
      <c r="F46" s="31"/>
      <c r="G46" s="56" t="s">
        <v>278</v>
      </c>
      <c r="H46" s="36">
        <f>1223+0.3-1000</f>
        <v>223.29999999999995</v>
      </c>
      <c r="I46" s="53"/>
    </row>
    <row r="47" spans="1:9" ht="15.75">
      <c r="A47" s="120" t="s">
        <v>115</v>
      </c>
      <c r="B47" s="106" t="s">
        <v>86</v>
      </c>
      <c r="C47" s="103" t="s">
        <v>191</v>
      </c>
      <c r="D47" s="213" t="s">
        <v>126</v>
      </c>
      <c r="E47" s="102"/>
      <c r="F47" s="100"/>
      <c r="G47" s="93"/>
      <c r="H47" s="84">
        <f>H48+H55</f>
        <v>7282.2</v>
      </c>
      <c r="I47" s="84">
        <f>I48+I55</f>
        <v>0</v>
      </c>
    </row>
    <row r="48" spans="1:9" s="23" customFormat="1" ht="26.25">
      <c r="A48" s="206" t="s">
        <v>169</v>
      </c>
      <c r="B48" s="105" t="s">
        <v>86</v>
      </c>
      <c r="C48" s="103" t="s">
        <v>191</v>
      </c>
      <c r="D48" s="115" t="s">
        <v>192</v>
      </c>
      <c r="E48" s="103"/>
      <c r="F48" s="101"/>
      <c r="G48" s="95"/>
      <c r="H48" s="84">
        <f>H52+H49</f>
        <v>3653.2</v>
      </c>
      <c r="I48" s="97">
        <f>I52+I49</f>
        <v>0</v>
      </c>
    </row>
    <row r="49" spans="1:9" ht="29.25" customHeight="1">
      <c r="A49" s="69" t="s">
        <v>139</v>
      </c>
      <c r="B49" s="42" t="s">
        <v>86</v>
      </c>
      <c r="C49" s="22" t="s">
        <v>191</v>
      </c>
      <c r="D49" s="29" t="s">
        <v>192</v>
      </c>
      <c r="E49" s="22" t="s">
        <v>140</v>
      </c>
      <c r="F49" s="29" t="s">
        <v>49</v>
      </c>
      <c r="G49" s="94"/>
      <c r="H49" s="37">
        <f>H50</f>
        <v>2245.2</v>
      </c>
      <c r="I49" s="83">
        <f>I50</f>
        <v>0</v>
      </c>
    </row>
    <row r="50" spans="1:9" ht="28.5" customHeight="1">
      <c r="A50" s="69" t="s">
        <v>141</v>
      </c>
      <c r="B50" s="42" t="s">
        <v>86</v>
      </c>
      <c r="C50" s="22" t="s">
        <v>191</v>
      </c>
      <c r="D50" s="29" t="s">
        <v>192</v>
      </c>
      <c r="E50" s="22" t="s">
        <v>170</v>
      </c>
      <c r="F50" s="29" t="s">
        <v>142</v>
      </c>
      <c r="G50" s="94"/>
      <c r="H50" s="37">
        <f>H51</f>
        <v>2245.2</v>
      </c>
      <c r="I50" s="83">
        <f>I51</f>
        <v>0</v>
      </c>
    </row>
    <row r="51" spans="1:9" ht="15" customHeight="1">
      <c r="A51" s="70" t="s">
        <v>146</v>
      </c>
      <c r="B51" s="42" t="s">
        <v>86</v>
      </c>
      <c r="C51" s="22" t="s">
        <v>191</v>
      </c>
      <c r="D51" s="29" t="s">
        <v>192</v>
      </c>
      <c r="E51" s="22" t="s">
        <v>170</v>
      </c>
      <c r="F51" s="29"/>
      <c r="G51" s="94" t="s">
        <v>278</v>
      </c>
      <c r="H51" s="37">
        <f>1521+724.2</f>
        <v>2245.2</v>
      </c>
      <c r="I51" s="83"/>
    </row>
    <row r="52" spans="1:9" ht="15.75">
      <c r="A52" s="25" t="s">
        <v>21</v>
      </c>
      <c r="B52" s="43" t="s">
        <v>86</v>
      </c>
      <c r="C52" s="18" t="s">
        <v>191</v>
      </c>
      <c r="D52" s="30" t="s">
        <v>192</v>
      </c>
      <c r="E52" s="18" t="s">
        <v>22</v>
      </c>
      <c r="F52" s="30"/>
      <c r="G52" s="85"/>
      <c r="H52" s="38">
        <f>H53</f>
        <v>1408</v>
      </c>
      <c r="I52" s="49">
        <f>I53</f>
        <v>0</v>
      </c>
    </row>
    <row r="53" spans="1:9" ht="26.25">
      <c r="A53" s="47" t="s">
        <v>118</v>
      </c>
      <c r="B53" s="44" t="s">
        <v>86</v>
      </c>
      <c r="C53" s="20" t="s">
        <v>191</v>
      </c>
      <c r="D53" s="31" t="s">
        <v>192</v>
      </c>
      <c r="E53" s="18" t="s">
        <v>171</v>
      </c>
      <c r="F53" s="30"/>
      <c r="G53" s="59"/>
      <c r="H53" s="36">
        <f>H54</f>
        <v>1408</v>
      </c>
      <c r="I53" s="60">
        <f>I54</f>
        <v>0</v>
      </c>
    </row>
    <row r="54" spans="1:9" ht="15.75">
      <c r="A54" s="70" t="s">
        <v>146</v>
      </c>
      <c r="B54" s="44" t="s">
        <v>86</v>
      </c>
      <c r="C54" s="20" t="s">
        <v>191</v>
      </c>
      <c r="D54" s="31" t="s">
        <v>192</v>
      </c>
      <c r="E54" s="18" t="s">
        <v>171</v>
      </c>
      <c r="F54" s="30"/>
      <c r="G54" s="94" t="s">
        <v>278</v>
      </c>
      <c r="H54" s="38">
        <f>3908-2500</f>
        <v>1408</v>
      </c>
      <c r="I54" s="50"/>
    </row>
    <row r="55" spans="1:9" s="23" customFormat="1" ht="26.25">
      <c r="A55" s="128" t="s">
        <v>107</v>
      </c>
      <c r="B55" s="105" t="s">
        <v>86</v>
      </c>
      <c r="C55" s="17" t="s">
        <v>191</v>
      </c>
      <c r="D55" s="32" t="s">
        <v>190</v>
      </c>
      <c r="E55" s="17"/>
      <c r="F55" s="32"/>
      <c r="G55" s="127"/>
      <c r="H55" s="88">
        <f>H56+H59</f>
        <v>3629</v>
      </c>
      <c r="I55" s="96">
        <f>I56+I59</f>
        <v>0</v>
      </c>
    </row>
    <row r="56" spans="1:9" ht="26.25">
      <c r="A56" s="47" t="s">
        <v>108</v>
      </c>
      <c r="B56" s="44" t="s">
        <v>86</v>
      </c>
      <c r="C56" s="20" t="s">
        <v>191</v>
      </c>
      <c r="D56" s="31" t="s">
        <v>190</v>
      </c>
      <c r="E56" s="20" t="s">
        <v>84</v>
      </c>
      <c r="F56" s="5"/>
      <c r="G56" s="85"/>
      <c r="H56" s="36">
        <f>H57</f>
        <v>189</v>
      </c>
      <c r="I56" s="60">
        <f>I57</f>
        <v>0</v>
      </c>
    </row>
    <row r="57" spans="1:9" ht="15.75">
      <c r="A57" s="25" t="s">
        <v>27</v>
      </c>
      <c r="B57" s="44" t="s">
        <v>86</v>
      </c>
      <c r="C57" s="20" t="s">
        <v>191</v>
      </c>
      <c r="D57" s="31" t="s">
        <v>190</v>
      </c>
      <c r="E57" s="20" t="s">
        <v>174</v>
      </c>
      <c r="F57" s="5"/>
      <c r="G57" s="57"/>
      <c r="H57" s="36">
        <f>H58</f>
        <v>189</v>
      </c>
      <c r="I57" s="60">
        <f>I58</f>
        <v>0</v>
      </c>
    </row>
    <row r="58" spans="1:9" ht="15.75">
      <c r="A58" s="27" t="s">
        <v>146</v>
      </c>
      <c r="B58" s="44" t="s">
        <v>86</v>
      </c>
      <c r="C58" s="20" t="s">
        <v>191</v>
      </c>
      <c r="D58" s="31" t="s">
        <v>190</v>
      </c>
      <c r="E58" s="20" t="s">
        <v>174</v>
      </c>
      <c r="F58" s="5"/>
      <c r="G58" s="94" t="s">
        <v>278</v>
      </c>
      <c r="H58" s="36">
        <f>1338-1049-100</f>
        <v>189</v>
      </c>
      <c r="I58" s="53"/>
    </row>
    <row r="59" spans="1:9" ht="15.75">
      <c r="A59" s="8" t="s">
        <v>131</v>
      </c>
      <c r="B59" s="44" t="s">
        <v>86</v>
      </c>
      <c r="C59" s="20" t="s">
        <v>191</v>
      </c>
      <c r="D59" s="31" t="s">
        <v>190</v>
      </c>
      <c r="E59" s="20" t="s">
        <v>132</v>
      </c>
      <c r="F59" s="5"/>
      <c r="G59" s="124"/>
      <c r="H59" s="36">
        <f>H60+H62</f>
        <v>3440</v>
      </c>
      <c r="I59" s="60">
        <f>I60</f>
        <v>0</v>
      </c>
    </row>
    <row r="60" spans="1:9" ht="41.25" customHeight="1">
      <c r="A60" s="109" t="s">
        <v>370</v>
      </c>
      <c r="B60" s="44" t="s">
        <v>86</v>
      </c>
      <c r="C60" s="20" t="s">
        <v>191</v>
      </c>
      <c r="D60" s="31" t="s">
        <v>190</v>
      </c>
      <c r="E60" s="20" t="s">
        <v>263</v>
      </c>
      <c r="F60" s="5"/>
      <c r="G60" s="124"/>
      <c r="H60" s="36">
        <f>H61</f>
        <v>3440</v>
      </c>
      <c r="I60" s="60">
        <f>I61</f>
        <v>0</v>
      </c>
    </row>
    <row r="61" spans="1:9" ht="15.75">
      <c r="A61" s="27" t="s">
        <v>146</v>
      </c>
      <c r="B61" s="43" t="s">
        <v>86</v>
      </c>
      <c r="C61" s="20" t="s">
        <v>191</v>
      </c>
      <c r="D61" s="31" t="s">
        <v>190</v>
      </c>
      <c r="E61" s="20" t="s">
        <v>263</v>
      </c>
      <c r="F61" s="5"/>
      <c r="G61" s="124" t="s">
        <v>278</v>
      </c>
      <c r="H61" s="36">
        <f>4440-1000</f>
        <v>3440</v>
      </c>
      <c r="I61" s="53"/>
    </row>
    <row r="62" spans="1:9" ht="39">
      <c r="A62" s="109" t="s">
        <v>289</v>
      </c>
      <c r="B62" s="43" t="s">
        <v>86</v>
      </c>
      <c r="C62" s="18" t="s">
        <v>191</v>
      </c>
      <c r="D62" s="30" t="s">
        <v>190</v>
      </c>
      <c r="E62" s="18" t="s">
        <v>288</v>
      </c>
      <c r="F62" s="30"/>
      <c r="G62" s="85"/>
      <c r="H62" s="36">
        <f>H63</f>
        <v>0</v>
      </c>
      <c r="I62" s="53"/>
    </row>
    <row r="63" spans="1:9" ht="15.75">
      <c r="A63" s="70" t="s">
        <v>146</v>
      </c>
      <c r="B63" s="43" t="s">
        <v>186</v>
      </c>
      <c r="C63" s="18" t="s">
        <v>191</v>
      </c>
      <c r="D63" s="30" t="s">
        <v>190</v>
      </c>
      <c r="E63" s="18" t="s">
        <v>288</v>
      </c>
      <c r="F63" s="30"/>
      <c r="G63" s="85" t="s">
        <v>278</v>
      </c>
      <c r="H63" s="36">
        <f>2500-2000-500</f>
        <v>0</v>
      </c>
      <c r="I63" s="53"/>
    </row>
    <row r="64" spans="1:9" ht="15.75">
      <c r="A64" s="120" t="s">
        <v>65</v>
      </c>
      <c r="B64" s="106" t="s">
        <v>86</v>
      </c>
      <c r="C64" s="103" t="s">
        <v>188</v>
      </c>
      <c r="D64" s="115" t="s">
        <v>126</v>
      </c>
      <c r="E64" s="103"/>
      <c r="F64" s="101"/>
      <c r="G64" s="95"/>
      <c r="H64" s="84">
        <f>H65+H70+H78</f>
        <v>28974.699999999997</v>
      </c>
      <c r="I64" s="84">
        <f>I65+I70+I78</f>
        <v>2564</v>
      </c>
    </row>
    <row r="65" spans="1:9" s="23" customFormat="1" ht="15.75">
      <c r="A65" s="114" t="s">
        <v>98</v>
      </c>
      <c r="B65" s="105" t="s">
        <v>86</v>
      </c>
      <c r="C65" s="17" t="s">
        <v>188</v>
      </c>
      <c r="D65" s="32" t="s">
        <v>195</v>
      </c>
      <c r="E65" s="17"/>
      <c r="F65" s="32"/>
      <c r="G65" s="127"/>
      <c r="H65" s="88">
        <f aca="true" t="shared" si="3" ref="H65:I68">H66</f>
        <v>19496</v>
      </c>
      <c r="I65" s="96">
        <f t="shared" si="3"/>
        <v>0</v>
      </c>
    </row>
    <row r="66" spans="1:9" ht="15.75">
      <c r="A66" s="25" t="s">
        <v>175</v>
      </c>
      <c r="B66" s="43" t="s">
        <v>86</v>
      </c>
      <c r="C66" s="22" t="s">
        <v>188</v>
      </c>
      <c r="D66" s="29" t="s">
        <v>195</v>
      </c>
      <c r="E66" s="18" t="s">
        <v>176</v>
      </c>
      <c r="F66" s="30"/>
      <c r="G66" s="85"/>
      <c r="H66" s="38">
        <f t="shared" si="3"/>
        <v>19496</v>
      </c>
      <c r="I66" s="49">
        <f t="shared" si="3"/>
        <v>0</v>
      </c>
    </row>
    <row r="67" spans="1:9" ht="15.75">
      <c r="A67" s="25" t="s">
        <v>177</v>
      </c>
      <c r="B67" s="43" t="s">
        <v>86</v>
      </c>
      <c r="C67" s="22" t="s">
        <v>188</v>
      </c>
      <c r="D67" s="29" t="s">
        <v>195</v>
      </c>
      <c r="E67" s="18" t="s">
        <v>178</v>
      </c>
      <c r="F67" s="30"/>
      <c r="G67" s="59"/>
      <c r="H67" s="38">
        <f t="shared" si="3"/>
        <v>19496</v>
      </c>
      <c r="I67" s="49">
        <f t="shared" si="3"/>
        <v>0</v>
      </c>
    </row>
    <row r="68" spans="1:9" ht="39">
      <c r="A68" s="109" t="s">
        <v>179</v>
      </c>
      <c r="B68" s="42" t="s">
        <v>86</v>
      </c>
      <c r="C68" s="22" t="s">
        <v>188</v>
      </c>
      <c r="D68" s="29" t="s">
        <v>195</v>
      </c>
      <c r="E68" s="18" t="s">
        <v>180</v>
      </c>
      <c r="F68" s="30" t="s">
        <v>49</v>
      </c>
      <c r="G68" s="85"/>
      <c r="H68" s="37">
        <f t="shared" si="3"/>
        <v>19496</v>
      </c>
      <c r="I68" s="83">
        <f t="shared" si="3"/>
        <v>0</v>
      </c>
    </row>
    <row r="69" spans="1:9" ht="15.75">
      <c r="A69" s="27" t="s">
        <v>181</v>
      </c>
      <c r="B69" s="42" t="s">
        <v>86</v>
      </c>
      <c r="C69" s="22" t="s">
        <v>188</v>
      </c>
      <c r="D69" s="29" t="s">
        <v>195</v>
      </c>
      <c r="E69" s="18" t="s">
        <v>180</v>
      </c>
      <c r="F69" s="30" t="s">
        <v>143</v>
      </c>
      <c r="G69" s="124" t="s">
        <v>87</v>
      </c>
      <c r="H69" s="37">
        <f>17928+1568</f>
        <v>19496</v>
      </c>
      <c r="I69" s="83"/>
    </row>
    <row r="70" spans="1:9" s="23" customFormat="1" ht="15.75">
      <c r="A70" s="114" t="s">
        <v>99</v>
      </c>
      <c r="B70" s="105" t="s">
        <v>86</v>
      </c>
      <c r="C70" s="17" t="s">
        <v>188</v>
      </c>
      <c r="D70" s="32" t="s">
        <v>192</v>
      </c>
      <c r="E70" s="103"/>
      <c r="F70" s="115"/>
      <c r="G70" s="240"/>
      <c r="H70" s="88">
        <f>H71</f>
        <v>3753.1000000000004</v>
      </c>
      <c r="I70" s="96">
        <f>I71</f>
        <v>2564</v>
      </c>
    </row>
    <row r="71" spans="1:9" ht="15.75">
      <c r="A71" s="27" t="s">
        <v>99</v>
      </c>
      <c r="B71" s="42" t="s">
        <v>86</v>
      </c>
      <c r="C71" s="22" t="s">
        <v>188</v>
      </c>
      <c r="D71" s="29" t="s">
        <v>192</v>
      </c>
      <c r="E71" s="18" t="s">
        <v>196</v>
      </c>
      <c r="F71" s="30"/>
      <c r="G71" s="239"/>
      <c r="H71" s="37">
        <f>H75+H72</f>
        <v>3753.1000000000004</v>
      </c>
      <c r="I71" s="37">
        <f>I75+I72</f>
        <v>2564</v>
      </c>
    </row>
    <row r="72" spans="1:9" ht="15.75">
      <c r="A72" s="27" t="s">
        <v>440</v>
      </c>
      <c r="B72" s="42" t="s">
        <v>86</v>
      </c>
      <c r="C72" s="22" t="s">
        <v>188</v>
      </c>
      <c r="D72" s="29" t="s">
        <v>192</v>
      </c>
      <c r="E72" s="18" t="s">
        <v>441</v>
      </c>
      <c r="F72" s="30"/>
      <c r="G72" s="239"/>
      <c r="H72" s="37">
        <f>H73</f>
        <v>2564</v>
      </c>
      <c r="I72" s="37">
        <f>I73</f>
        <v>2564</v>
      </c>
    </row>
    <row r="73" spans="1:9" ht="15.75">
      <c r="A73" s="27" t="s">
        <v>442</v>
      </c>
      <c r="B73" s="42" t="s">
        <v>86</v>
      </c>
      <c r="C73" s="22" t="s">
        <v>188</v>
      </c>
      <c r="D73" s="29" t="s">
        <v>192</v>
      </c>
      <c r="E73" s="18" t="s">
        <v>443</v>
      </c>
      <c r="F73" s="30"/>
      <c r="G73" s="239"/>
      <c r="H73" s="37">
        <f>H74</f>
        <v>2564</v>
      </c>
      <c r="I73" s="37">
        <f>I74</f>
        <v>2564</v>
      </c>
    </row>
    <row r="74" spans="1:9" ht="15.75">
      <c r="A74" s="27" t="s">
        <v>444</v>
      </c>
      <c r="B74" s="42" t="s">
        <v>86</v>
      </c>
      <c r="C74" s="22" t="s">
        <v>188</v>
      </c>
      <c r="D74" s="29" t="s">
        <v>192</v>
      </c>
      <c r="E74" s="18" t="s">
        <v>443</v>
      </c>
      <c r="F74" s="30" t="s">
        <v>445</v>
      </c>
      <c r="G74" s="239" t="s">
        <v>445</v>
      </c>
      <c r="H74" s="37">
        <f>3966-1402</f>
        <v>2564</v>
      </c>
      <c r="I74" s="83">
        <f>3966-1402</f>
        <v>2564</v>
      </c>
    </row>
    <row r="75" spans="1:9" ht="15.75">
      <c r="A75" s="27" t="s">
        <v>197</v>
      </c>
      <c r="B75" s="42" t="s">
        <v>86</v>
      </c>
      <c r="C75" s="22" t="s">
        <v>188</v>
      </c>
      <c r="D75" s="29" t="s">
        <v>192</v>
      </c>
      <c r="E75" s="18" t="s">
        <v>199</v>
      </c>
      <c r="F75" s="30"/>
      <c r="G75" s="239"/>
      <c r="H75" s="37">
        <f>H76</f>
        <v>1189.1000000000004</v>
      </c>
      <c r="I75" s="83">
        <f>I77</f>
        <v>0</v>
      </c>
    </row>
    <row r="76" spans="1:9" ht="15.75">
      <c r="A76" s="27" t="s">
        <v>317</v>
      </c>
      <c r="B76" s="42" t="s">
        <v>86</v>
      </c>
      <c r="C76" s="22" t="s">
        <v>188</v>
      </c>
      <c r="D76" s="29" t="s">
        <v>192</v>
      </c>
      <c r="E76" s="18" t="s">
        <v>318</v>
      </c>
      <c r="F76" s="30"/>
      <c r="G76" s="133"/>
      <c r="H76" s="37">
        <f>H77</f>
        <v>1189.1000000000004</v>
      </c>
      <c r="I76" s="83"/>
    </row>
    <row r="77" spans="1:9" ht="15.75">
      <c r="A77" s="27" t="s">
        <v>319</v>
      </c>
      <c r="B77" s="42" t="s">
        <v>86</v>
      </c>
      <c r="C77" s="22" t="s">
        <v>188</v>
      </c>
      <c r="D77" s="29" t="s">
        <v>192</v>
      </c>
      <c r="E77" s="18" t="s">
        <v>318</v>
      </c>
      <c r="F77" s="30"/>
      <c r="G77" s="417" t="s">
        <v>127</v>
      </c>
      <c r="H77" s="37">
        <f>4594+516+6563-516-6000+32.1-4000</f>
        <v>1189.1000000000004</v>
      </c>
      <c r="I77" s="83"/>
    </row>
    <row r="78" spans="1:9" s="23" customFormat="1" ht="15.75">
      <c r="A78" s="114" t="s">
        <v>66</v>
      </c>
      <c r="B78" s="105" t="s">
        <v>86</v>
      </c>
      <c r="C78" s="17" t="s">
        <v>188</v>
      </c>
      <c r="D78" s="32" t="s">
        <v>189</v>
      </c>
      <c r="E78" s="103"/>
      <c r="F78" s="115"/>
      <c r="G78" s="134"/>
      <c r="H78" s="88">
        <f>H81+H84+H79</f>
        <v>5725.6</v>
      </c>
      <c r="I78" s="88">
        <f>I81+I84</f>
        <v>0</v>
      </c>
    </row>
    <row r="79" spans="1:9" s="23" customFormat="1" ht="16.5" customHeight="1">
      <c r="A79" s="35" t="s">
        <v>426</v>
      </c>
      <c r="B79" s="42" t="s">
        <v>86</v>
      </c>
      <c r="C79" s="22" t="s">
        <v>188</v>
      </c>
      <c r="D79" s="29" t="s">
        <v>189</v>
      </c>
      <c r="E79" s="18" t="s">
        <v>427</v>
      </c>
      <c r="F79" s="115"/>
      <c r="G79" s="319"/>
      <c r="H79" s="37">
        <f>H80</f>
        <v>4341.3</v>
      </c>
      <c r="I79" s="83"/>
    </row>
    <row r="80" spans="1:9" s="23" customFormat="1" ht="15.75">
      <c r="A80" s="27" t="s">
        <v>146</v>
      </c>
      <c r="B80" s="42" t="s">
        <v>86</v>
      </c>
      <c r="C80" s="22" t="s">
        <v>188</v>
      </c>
      <c r="D80" s="29" t="s">
        <v>189</v>
      </c>
      <c r="E80" s="18" t="s">
        <v>427</v>
      </c>
      <c r="F80" s="115" t="s">
        <v>278</v>
      </c>
      <c r="G80" s="319" t="s">
        <v>278</v>
      </c>
      <c r="H80" s="37">
        <v>4341.3</v>
      </c>
      <c r="I80" s="83"/>
    </row>
    <row r="81" spans="1:9" ht="16.5" customHeight="1">
      <c r="A81" s="47" t="s">
        <v>109</v>
      </c>
      <c r="B81" s="43" t="s">
        <v>86</v>
      </c>
      <c r="C81" s="22" t="s">
        <v>188</v>
      </c>
      <c r="D81" s="30" t="s">
        <v>189</v>
      </c>
      <c r="E81" s="18" t="s">
        <v>76</v>
      </c>
      <c r="F81" s="30"/>
      <c r="G81" s="85"/>
      <c r="H81" s="38">
        <f>H82</f>
        <v>1022</v>
      </c>
      <c r="I81" s="49">
        <f>I83</f>
        <v>0</v>
      </c>
    </row>
    <row r="82" spans="1:9" ht="15.75">
      <c r="A82" s="35" t="s">
        <v>343</v>
      </c>
      <c r="B82" s="44" t="s">
        <v>86</v>
      </c>
      <c r="C82" s="22" t="s">
        <v>188</v>
      </c>
      <c r="D82" s="31" t="s">
        <v>189</v>
      </c>
      <c r="E82" s="20" t="s">
        <v>344</v>
      </c>
      <c r="F82" s="31"/>
      <c r="G82" s="124"/>
      <c r="H82" s="36">
        <f>H83</f>
        <v>1022</v>
      </c>
      <c r="I82" s="60"/>
    </row>
    <row r="83" spans="1:9" ht="15.75">
      <c r="A83" s="70" t="s">
        <v>146</v>
      </c>
      <c r="B83" s="44" t="s">
        <v>86</v>
      </c>
      <c r="C83" s="22" t="s">
        <v>188</v>
      </c>
      <c r="D83" s="31" t="s">
        <v>189</v>
      </c>
      <c r="E83" s="20" t="s">
        <v>344</v>
      </c>
      <c r="F83" s="31"/>
      <c r="G83" s="124" t="s">
        <v>278</v>
      </c>
      <c r="H83" s="36">
        <f>322+500+200</f>
        <v>1022</v>
      </c>
      <c r="I83" s="53"/>
    </row>
    <row r="84" spans="1:9" ht="15.75">
      <c r="A84" s="70" t="s">
        <v>131</v>
      </c>
      <c r="B84" s="44" t="s">
        <v>86</v>
      </c>
      <c r="C84" s="22" t="s">
        <v>188</v>
      </c>
      <c r="D84" s="31" t="s">
        <v>189</v>
      </c>
      <c r="E84" s="20" t="s">
        <v>132</v>
      </c>
      <c r="F84" s="31"/>
      <c r="G84" s="124"/>
      <c r="H84" s="36">
        <f>H85</f>
        <v>362.3</v>
      </c>
      <c r="I84" s="53"/>
    </row>
    <row r="85" spans="1:9" ht="39">
      <c r="A85" s="69" t="s">
        <v>373</v>
      </c>
      <c r="B85" s="44" t="s">
        <v>86</v>
      </c>
      <c r="C85" s="22" t="s">
        <v>188</v>
      </c>
      <c r="D85" s="31" t="s">
        <v>189</v>
      </c>
      <c r="E85" s="20" t="s">
        <v>297</v>
      </c>
      <c r="F85" s="31"/>
      <c r="G85" s="124"/>
      <c r="H85" s="36">
        <f>H86</f>
        <v>362.3</v>
      </c>
      <c r="I85" s="53"/>
    </row>
    <row r="86" spans="1:9" ht="15.75">
      <c r="A86" s="70" t="s">
        <v>146</v>
      </c>
      <c r="B86" s="44" t="s">
        <v>86</v>
      </c>
      <c r="C86" s="22" t="s">
        <v>188</v>
      </c>
      <c r="D86" s="31" t="s">
        <v>189</v>
      </c>
      <c r="E86" s="20" t="s">
        <v>297</v>
      </c>
      <c r="F86" s="31" t="s">
        <v>278</v>
      </c>
      <c r="G86" s="124" t="s">
        <v>278</v>
      </c>
      <c r="H86" s="36">
        <f>2000-1000-1000+362.3</f>
        <v>362.3</v>
      </c>
      <c r="I86" s="53"/>
    </row>
    <row r="87" spans="1:9" s="23" customFormat="1" ht="15.75">
      <c r="A87" s="120" t="s">
        <v>23</v>
      </c>
      <c r="B87" s="106" t="s">
        <v>86</v>
      </c>
      <c r="C87" s="103" t="s">
        <v>200</v>
      </c>
      <c r="D87" s="115" t="s">
        <v>126</v>
      </c>
      <c r="E87" s="103"/>
      <c r="F87" s="101"/>
      <c r="G87" s="95"/>
      <c r="H87" s="84">
        <f>H88+H111+H133</f>
        <v>408928.4</v>
      </c>
      <c r="I87" s="84">
        <f>I88+I111+I133</f>
        <v>193393.3</v>
      </c>
    </row>
    <row r="88" spans="1:9" s="23" customFormat="1" ht="15.75">
      <c r="A88" s="8" t="s">
        <v>70</v>
      </c>
      <c r="B88" s="43" t="s">
        <v>86</v>
      </c>
      <c r="C88" s="18" t="s">
        <v>200</v>
      </c>
      <c r="D88" s="30" t="s">
        <v>186</v>
      </c>
      <c r="E88" s="18"/>
      <c r="F88" s="7"/>
      <c r="G88" s="51"/>
      <c r="H88" s="38">
        <f>H100+H104+H96+H89</f>
        <v>221071.6</v>
      </c>
      <c r="I88" s="38">
        <f>I100+I104+I96+I92+I95</f>
        <v>139220</v>
      </c>
    </row>
    <row r="89" spans="1:9" s="23" customFormat="1" ht="29.25" customHeight="1">
      <c r="A89" s="288" t="s">
        <v>378</v>
      </c>
      <c r="B89" s="43" t="s">
        <v>86</v>
      </c>
      <c r="C89" s="18" t="s">
        <v>200</v>
      </c>
      <c r="D89" s="30" t="s">
        <v>186</v>
      </c>
      <c r="E89" s="22" t="s">
        <v>379</v>
      </c>
      <c r="F89" s="29"/>
      <c r="G89" s="124"/>
      <c r="H89" s="38">
        <f>H90+H93</f>
        <v>56329</v>
      </c>
      <c r="I89" s="38">
        <f>I90+I93</f>
        <v>24965</v>
      </c>
    </row>
    <row r="90" spans="1:9" s="23" customFormat="1" ht="53.25" customHeight="1">
      <c r="A90" s="288" t="s">
        <v>380</v>
      </c>
      <c r="B90" s="43" t="s">
        <v>86</v>
      </c>
      <c r="C90" s="18" t="s">
        <v>200</v>
      </c>
      <c r="D90" s="30" t="s">
        <v>186</v>
      </c>
      <c r="E90" s="22" t="s">
        <v>381</v>
      </c>
      <c r="F90" s="29"/>
      <c r="G90" s="124"/>
      <c r="H90" s="38">
        <f>H91</f>
        <v>37382</v>
      </c>
      <c r="I90" s="38">
        <f>I91</f>
        <v>21700</v>
      </c>
    </row>
    <row r="91" spans="1:9" s="23" customFormat="1" ht="15" customHeight="1">
      <c r="A91" s="288" t="s">
        <v>382</v>
      </c>
      <c r="B91" s="43" t="s">
        <v>86</v>
      </c>
      <c r="C91" s="18" t="s">
        <v>200</v>
      </c>
      <c r="D91" s="30" t="s">
        <v>186</v>
      </c>
      <c r="E91" s="22" t="s">
        <v>383</v>
      </c>
      <c r="F91" s="29"/>
      <c r="G91" s="124"/>
      <c r="H91" s="38">
        <f>H92</f>
        <v>37382</v>
      </c>
      <c r="I91" s="38">
        <f>I92</f>
        <v>21700</v>
      </c>
    </row>
    <row r="92" spans="1:9" s="23" customFormat="1" ht="15.75">
      <c r="A92" s="289" t="s">
        <v>384</v>
      </c>
      <c r="B92" s="43" t="s">
        <v>86</v>
      </c>
      <c r="C92" s="18" t="s">
        <v>200</v>
      </c>
      <c r="D92" s="30" t="s">
        <v>186</v>
      </c>
      <c r="E92" s="22" t="s">
        <v>383</v>
      </c>
      <c r="F92" s="29" t="s">
        <v>385</v>
      </c>
      <c r="G92" s="124" t="s">
        <v>385</v>
      </c>
      <c r="H92" s="38">
        <f>15682+21699.4+0.6</f>
        <v>37382</v>
      </c>
      <c r="I92" s="49">
        <f>21699.4+0.6</f>
        <v>21700</v>
      </c>
    </row>
    <row r="93" spans="1:9" s="23" customFormat="1" ht="39">
      <c r="A93" s="288" t="s">
        <v>386</v>
      </c>
      <c r="B93" s="43" t="s">
        <v>86</v>
      </c>
      <c r="C93" s="18" t="s">
        <v>200</v>
      </c>
      <c r="D93" s="30" t="s">
        <v>186</v>
      </c>
      <c r="E93" s="22" t="s">
        <v>387</v>
      </c>
      <c r="F93" s="29"/>
      <c r="G93" s="124"/>
      <c r="H93" s="38">
        <f>H94</f>
        <v>18947</v>
      </c>
      <c r="I93" s="38">
        <f>I94</f>
        <v>3265</v>
      </c>
    </row>
    <row r="94" spans="1:9" s="23" customFormat="1" ht="15" customHeight="1">
      <c r="A94" s="288" t="s">
        <v>388</v>
      </c>
      <c r="B94" s="43" t="s">
        <v>86</v>
      </c>
      <c r="C94" s="18" t="s">
        <v>200</v>
      </c>
      <c r="D94" s="30" t="s">
        <v>186</v>
      </c>
      <c r="E94" s="22" t="s">
        <v>389</v>
      </c>
      <c r="F94" s="29"/>
      <c r="G94" s="124"/>
      <c r="H94" s="38">
        <f>H95</f>
        <v>18947</v>
      </c>
      <c r="I94" s="38">
        <f>I95</f>
        <v>3265</v>
      </c>
    </row>
    <row r="95" spans="1:9" s="23" customFormat="1" ht="15.75">
      <c r="A95" s="289" t="s">
        <v>384</v>
      </c>
      <c r="B95" s="43" t="s">
        <v>86</v>
      </c>
      <c r="C95" s="18" t="s">
        <v>200</v>
      </c>
      <c r="D95" s="30" t="s">
        <v>186</v>
      </c>
      <c r="E95" s="22" t="s">
        <v>389</v>
      </c>
      <c r="F95" s="29" t="s">
        <v>385</v>
      </c>
      <c r="G95" s="124" t="s">
        <v>385</v>
      </c>
      <c r="H95" s="38">
        <f>15682+707.2+3265+572.9+7.8-1287.9</f>
        <v>18947</v>
      </c>
      <c r="I95" s="49">
        <v>3265</v>
      </c>
    </row>
    <row r="96" spans="1:9" s="23" customFormat="1" ht="26.25">
      <c r="A96" s="35" t="s">
        <v>206</v>
      </c>
      <c r="B96" s="72" t="s">
        <v>86</v>
      </c>
      <c r="C96" s="73" t="s">
        <v>200</v>
      </c>
      <c r="D96" s="74" t="s">
        <v>186</v>
      </c>
      <c r="E96" s="22" t="s">
        <v>71</v>
      </c>
      <c r="F96" s="29"/>
      <c r="G96" s="124"/>
      <c r="H96" s="71">
        <f>H97</f>
        <v>0</v>
      </c>
      <c r="I96" s="97"/>
    </row>
    <row r="97" spans="1:9" s="23" customFormat="1" ht="41.25" customHeight="1">
      <c r="A97" s="35" t="s">
        <v>207</v>
      </c>
      <c r="B97" s="72" t="s">
        <v>86</v>
      </c>
      <c r="C97" s="73" t="s">
        <v>200</v>
      </c>
      <c r="D97" s="74" t="s">
        <v>186</v>
      </c>
      <c r="E97" s="22" t="s">
        <v>208</v>
      </c>
      <c r="F97" s="29"/>
      <c r="G97" s="124"/>
      <c r="H97" s="71">
        <f>H98</f>
        <v>0</v>
      </c>
      <c r="I97" s="97"/>
    </row>
    <row r="98" spans="1:9" s="23" customFormat="1" ht="64.5" customHeight="1">
      <c r="A98" s="35" t="s">
        <v>357</v>
      </c>
      <c r="B98" s="72" t="s">
        <v>86</v>
      </c>
      <c r="C98" s="73" t="s">
        <v>200</v>
      </c>
      <c r="D98" s="74" t="s">
        <v>186</v>
      </c>
      <c r="E98" s="22" t="s">
        <v>243</v>
      </c>
      <c r="F98" s="29"/>
      <c r="G98" s="124"/>
      <c r="H98" s="71">
        <f>H99</f>
        <v>0</v>
      </c>
      <c r="I98" s="97"/>
    </row>
    <row r="99" spans="1:9" s="23" customFormat="1" ht="15.75">
      <c r="A99" s="35" t="s">
        <v>209</v>
      </c>
      <c r="B99" s="72" t="s">
        <v>86</v>
      </c>
      <c r="C99" s="73" t="s">
        <v>200</v>
      </c>
      <c r="D99" s="74" t="s">
        <v>186</v>
      </c>
      <c r="E99" s="22" t="s">
        <v>243</v>
      </c>
      <c r="F99" s="29"/>
      <c r="G99" s="124" t="s">
        <v>67</v>
      </c>
      <c r="H99" s="71">
        <f>3000-2500-500</f>
        <v>0</v>
      </c>
      <c r="I99" s="97"/>
    </row>
    <row r="100" spans="1:9" s="23" customFormat="1" ht="15.75">
      <c r="A100" s="25" t="s">
        <v>24</v>
      </c>
      <c r="B100" s="43" t="s">
        <v>86</v>
      </c>
      <c r="C100" s="18" t="s">
        <v>200</v>
      </c>
      <c r="D100" s="30" t="s">
        <v>186</v>
      </c>
      <c r="E100" s="18" t="s">
        <v>25</v>
      </c>
      <c r="F100" s="30"/>
      <c r="G100" s="85"/>
      <c r="H100" s="38">
        <f>H101</f>
        <v>164742.6</v>
      </c>
      <c r="I100" s="49">
        <f>I101</f>
        <v>114255</v>
      </c>
    </row>
    <row r="101" spans="1:9" s="23" customFormat="1" ht="15.75">
      <c r="A101" s="47" t="s">
        <v>201</v>
      </c>
      <c r="B101" s="43" t="s">
        <v>86</v>
      </c>
      <c r="C101" s="18" t="s">
        <v>200</v>
      </c>
      <c r="D101" s="30" t="s">
        <v>186</v>
      </c>
      <c r="E101" s="18" t="s">
        <v>202</v>
      </c>
      <c r="F101" s="30"/>
      <c r="G101" s="85"/>
      <c r="H101" s="38">
        <f>H102+H103</f>
        <v>164742.6</v>
      </c>
      <c r="I101" s="49">
        <f>I102</f>
        <v>114255</v>
      </c>
    </row>
    <row r="102" spans="1:9" s="23" customFormat="1" ht="15.75">
      <c r="A102" s="70" t="s">
        <v>181</v>
      </c>
      <c r="B102" s="43" t="s">
        <v>86</v>
      </c>
      <c r="C102" s="18" t="s">
        <v>200</v>
      </c>
      <c r="D102" s="30" t="s">
        <v>186</v>
      </c>
      <c r="E102" s="18" t="s">
        <v>202</v>
      </c>
      <c r="F102" s="30"/>
      <c r="G102" s="85" t="s">
        <v>87</v>
      </c>
      <c r="H102" s="38">
        <f>14679+25000+27285-10000-25000+5085.8+54971.4-17285-20294.6-5000+114255-572.9-7.8+1287.9</f>
        <v>164403.80000000002</v>
      </c>
      <c r="I102" s="49">
        <f>25000-25000+114255</f>
        <v>114255</v>
      </c>
    </row>
    <row r="103" spans="1:9" s="23" customFormat="1" ht="15.75">
      <c r="A103" s="70" t="s">
        <v>146</v>
      </c>
      <c r="B103" s="43" t="s">
        <v>86</v>
      </c>
      <c r="C103" s="18" t="s">
        <v>200</v>
      </c>
      <c r="D103" s="30" t="s">
        <v>186</v>
      </c>
      <c r="E103" s="18" t="s">
        <v>202</v>
      </c>
      <c r="F103" s="30"/>
      <c r="G103" s="85" t="s">
        <v>278</v>
      </c>
      <c r="H103" s="38">
        <v>338.8</v>
      </c>
      <c r="I103" s="49"/>
    </row>
    <row r="104" spans="1:9" s="23" customFormat="1" ht="15.75">
      <c r="A104" s="25" t="s">
        <v>131</v>
      </c>
      <c r="B104" s="43" t="s">
        <v>86</v>
      </c>
      <c r="C104" s="18" t="s">
        <v>200</v>
      </c>
      <c r="D104" s="30" t="s">
        <v>186</v>
      </c>
      <c r="E104" s="18" t="s">
        <v>132</v>
      </c>
      <c r="F104" s="30"/>
      <c r="G104" s="85"/>
      <c r="H104" s="38">
        <f>H105+H107+H109</f>
        <v>0</v>
      </c>
      <c r="I104" s="49"/>
    </row>
    <row r="105" spans="1:9" s="23" customFormat="1" ht="26.25">
      <c r="A105" s="109" t="s">
        <v>266</v>
      </c>
      <c r="B105" s="43" t="s">
        <v>86</v>
      </c>
      <c r="C105" s="18" t="s">
        <v>200</v>
      </c>
      <c r="D105" s="30" t="s">
        <v>186</v>
      </c>
      <c r="E105" s="18" t="s">
        <v>265</v>
      </c>
      <c r="F105" s="30"/>
      <c r="G105" s="85"/>
      <c r="H105" s="38">
        <f>H106</f>
        <v>0</v>
      </c>
      <c r="I105" s="49"/>
    </row>
    <row r="106" spans="1:9" s="23" customFormat="1" ht="15.75">
      <c r="A106" s="70" t="s">
        <v>146</v>
      </c>
      <c r="B106" s="43" t="s">
        <v>186</v>
      </c>
      <c r="C106" s="18" t="s">
        <v>200</v>
      </c>
      <c r="D106" s="30" t="s">
        <v>186</v>
      </c>
      <c r="E106" s="18" t="s">
        <v>265</v>
      </c>
      <c r="F106" s="30"/>
      <c r="G106" s="85" t="s">
        <v>278</v>
      </c>
      <c r="H106" s="38"/>
      <c r="I106" s="49"/>
    </row>
    <row r="107" spans="1:9" s="23" customFormat="1" ht="26.25">
      <c r="A107" s="69" t="s">
        <v>375</v>
      </c>
      <c r="B107" s="43" t="s">
        <v>86</v>
      </c>
      <c r="C107" s="18" t="s">
        <v>200</v>
      </c>
      <c r="D107" s="30" t="s">
        <v>186</v>
      </c>
      <c r="E107" s="18" t="s">
        <v>350</v>
      </c>
      <c r="F107" s="30"/>
      <c r="G107" s="85"/>
      <c r="H107" s="38">
        <f>H108</f>
        <v>0</v>
      </c>
      <c r="I107" s="49"/>
    </row>
    <row r="108" spans="1:9" s="23" customFormat="1" ht="15.75">
      <c r="A108" s="70" t="s">
        <v>146</v>
      </c>
      <c r="B108" s="43" t="s">
        <v>86</v>
      </c>
      <c r="C108" s="18" t="s">
        <v>200</v>
      </c>
      <c r="D108" s="30" t="s">
        <v>186</v>
      </c>
      <c r="E108" s="18" t="s">
        <v>350</v>
      </c>
      <c r="F108" s="30"/>
      <c r="G108" s="85" t="s">
        <v>278</v>
      </c>
      <c r="H108" s="38">
        <f>10950-10950</f>
        <v>0</v>
      </c>
      <c r="I108" s="49"/>
    </row>
    <row r="109" spans="1:9" s="23" customFormat="1" ht="26.25">
      <c r="A109" s="69" t="s">
        <v>351</v>
      </c>
      <c r="B109" s="43" t="s">
        <v>86</v>
      </c>
      <c r="C109" s="18" t="s">
        <v>200</v>
      </c>
      <c r="D109" s="30" t="s">
        <v>186</v>
      </c>
      <c r="E109" s="18" t="s">
        <v>352</v>
      </c>
      <c r="F109" s="30"/>
      <c r="G109" s="85"/>
      <c r="H109" s="38">
        <f>H110</f>
        <v>0</v>
      </c>
      <c r="I109" s="49"/>
    </row>
    <row r="110" spans="1:9" s="23" customFormat="1" ht="15.75">
      <c r="A110" s="70" t="s">
        <v>146</v>
      </c>
      <c r="B110" s="43" t="s">
        <v>86</v>
      </c>
      <c r="C110" s="18" t="s">
        <v>200</v>
      </c>
      <c r="D110" s="30" t="s">
        <v>186</v>
      </c>
      <c r="E110" s="18" t="s">
        <v>352</v>
      </c>
      <c r="F110" s="30"/>
      <c r="G110" s="85" t="s">
        <v>278</v>
      </c>
      <c r="H110" s="38">
        <f>1000-1000</f>
        <v>0</v>
      </c>
      <c r="I110" s="49"/>
    </row>
    <row r="111" spans="1:9" s="23" customFormat="1" ht="15.75">
      <c r="A111" s="114" t="s">
        <v>3</v>
      </c>
      <c r="B111" s="106" t="s">
        <v>86</v>
      </c>
      <c r="C111" s="103" t="s">
        <v>200</v>
      </c>
      <c r="D111" s="115" t="s">
        <v>187</v>
      </c>
      <c r="E111" s="103"/>
      <c r="F111" s="115"/>
      <c r="G111" s="125"/>
      <c r="H111" s="84">
        <f>H120+H128+H112+H124+H116</f>
        <v>127106.59999999999</v>
      </c>
      <c r="I111" s="84">
        <f>I120+I128+I112+I124+I116</f>
        <v>54173.299999999996</v>
      </c>
    </row>
    <row r="112" spans="1:9" s="23" customFormat="1" ht="24.75" customHeight="1">
      <c r="A112" s="35" t="s">
        <v>206</v>
      </c>
      <c r="B112" s="42" t="s">
        <v>86</v>
      </c>
      <c r="C112" s="22" t="s">
        <v>200</v>
      </c>
      <c r="D112" s="29" t="s">
        <v>187</v>
      </c>
      <c r="E112" s="22" t="s">
        <v>71</v>
      </c>
      <c r="F112" s="29"/>
      <c r="G112" s="124"/>
      <c r="H112" s="38">
        <f>H113</f>
        <v>0</v>
      </c>
      <c r="I112" s="97"/>
    </row>
    <row r="113" spans="1:9" s="23" customFormat="1" ht="41.25" customHeight="1">
      <c r="A113" s="35" t="s">
        <v>207</v>
      </c>
      <c r="B113" s="42" t="s">
        <v>86</v>
      </c>
      <c r="C113" s="22" t="s">
        <v>200</v>
      </c>
      <c r="D113" s="29" t="s">
        <v>187</v>
      </c>
      <c r="E113" s="22" t="s">
        <v>208</v>
      </c>
      <c r="F113" s="29"/>
      <c r="G113" s="124"/>
      <c r="H113" s="38">
        <f>H114</f>
        <v>0</v>
      </c>
      <c r="I113" s="97"/>
    </row>
    <row r="114" spans="1:9" s="23" customFormat="1" ht="39">
      <c r="A114" s="35" t="s">
        <v>481</v>
      </c>
      <c r="B114" s="42" t="s">
        <v>86</v>
      </c>
      <c r="C114" s="22" t="s">
        <v>200</v>
      </c>
      <c r="D114" s="29" t="s">
        <v>187</v>
      </c>
      <c r="E114" s="22" t="s">
        <v>243</v>
      </c>
      <c r="F114" s="29"/>
      <c r="G114" s="124"/>
      <c r="H114" s="38">
        <f>H115</f>
        <v>0</v>
      </c>
      <c r="I114" s="97"/>
    </row>
    <row r="115" spans="1:9" s="23" customFormat="1" ht="15.75">
      <c r="A115" s="35" t="s">
        <v>209</v>
      </c>
      <c r="B115" s="42" t="s">
        <v>86</v>
      </c>
      <c r="C115" s="22" t="s">
        <v>200</v>
      </c>
      <c r="D115" s="29" t="s">
        <v>187</v>
      </c>
      <c r="E115" s="22" t="s">
        <v>243</v>
      </c>
      <c r="F115" s="29"/>
      <c r="G115" s="124" t="s">
        <v>67</v>
      </c>
      <c r="H115" s="38">
        <f>12456-12456+4149-4149</f>
        <v>0</v>
      </c>
      <c r="I115" s="97"/>
    </row>
    <row r="116" spans="1:9" s="23" customFormat="1" ht="32.25" customHeight="1">
      <c r="A116" s="35" t="s">
        <v>206</v>
      </c>
      <c r="B116" s="42" t="s">
        <v>86</v>
      </c>
      <c r="C116" s="22" t="s">
        <v>200</v>
      </c>
      <c r="D116" s="29" t="s">
        <v>187</v>
      </c>
      <c r="E116" s="22" t="s">
        <v>71</v>
      </c>
      <c r="F116" s="29"/>
      <c r="G116" s="124"/>
      <c r="H116" s="38">
        <f>H117</f>
        <v>1409.5</v>
      </c>
      <c r="I116" s="97"/>
    </row>
    <row r="117" spans="1:9" s="23" customFormat="1" ht="43.5" customHeight="1">
      <c r="A117" s="35" t="s">
        <v>207</v>
      </c>
      <c r="B117" s="42" t="s">
        <v>86</v>
      </c>
      <c r="C117" s="22" t="s">
        <v>200</v>
      </c>
      <c r="D117" s="29" t="s">
        <v>187</v>
      </c>
      <c r="E117" s="22" t="s">
        <v>208</v>
      </c>
      <c r="F117" s="29"/>
      <c r="G117" s="124"/>
      <c r="H117" s="38">
        <f>H118</f>
        <v>1409.5</v>
      </c>
      <c r="I117" s="97"/>
    </row>
    <row r="118" spans="1:9" s="23" customFormat="1" ht="31.5" customHeight="1">
      <c r="A118" s="35" t="s">
        <v>428</v>
      </c>
      <c r="B118" s="42" t="s">
        <v>86</v>
      </c>
      <c r="C118" s="22" t="s">
        <v>200</v>
      </c>
      <c r="D118" s="29" t="s">
        <v>187</v>
      </c>
      <c r="E118" s="22" t="s">
        <v>243</v>
      </c>
      <c r="F118" s="29"/>
      <c r="G118" s="124"/>
      <c r="H118" s="38">
        <f>H119</f>
        <v>1409.5</v>
      </c>
      <c r="I118" s="97"/>
    </row>
    <row r="119" spans="1:9" s="23" customFormat="1" ht="15.75">
      <c r="A119" s="35" t="s">
        <v>429</v>
      </c>
      <c r="B119" s="42" t="s">
        <v>86</v>
      </c>
      <c r="C119" s="22" t="s">
        <v>200</v>
      </c>
      <c r="D119" s="29" t="s">
        <v>187</v>
      </c>
      <c r="E119" s="22" t="s">
        <v>243</v>
      </c>
      <c r="F119" s="29" t="s">
        <v>67</v>
      </c>
      <c r="G119" s="124" t="s">
        <v>67</v>
      </c>
      <c r="H119" s="38">
        <v>1409.5</v>
      </c>
      <c r="I119" s="97"/>
    </row>
    <row r="120" spans="1:9" s="23" customFormat="1" ht="15.75">
      <c r="A120" s="25" t="s">
        <v>54</v>
      </c>
      <c r="B120" s="43" t="s">
        <v>86</v>
      </c>
      <c r="C120" s="18" t="s">
        <v>200</v>
      </c>
      <c r="D120" s="30" t="s">
        <v>187</v>
      </c>
      <c r="E120" s="18" t="s">
        <v>75</v>
      </c>
      <c r="F120" s="30" t="s">
        <v>49</v>
      </c>
      <c r="G120" s="85"/>
      <c r="H120" s="38">
        <f>H121</f>
        <v>24148.6</v>
      </c>
      <c r="I120" s="38">
        <f>I121</f>
        <v>0</v>
      </c>
    </row>
    <row r="121" spans="1:9" ht="15.75">
      <c r="A121" s="25" t="s">
        <v>291</v>
      </c>
      <c r="B121" s="43" t="s">
        <v>86</v>
      </c>
      <c r="C121" s="18" t="s">
        <v>200</v>
      </c>
      <c r="D121" s="30" t="s">
        <v>187</v>
      </c>
      <c r="E121" s="18" t="s">
        <v>292</v>
      </c>
      <c r="F121" s="30"/>
      <c r="G121" s="85"/>
      <c r="H121" s="38">
        <f>H122</f>
        <v>24148.6</v>
      </c>
      <c r="I121" s="38">
        <f>I122</f>
        <v>0</v>
      </c>
    </row>
    <row r="122" spans="1:9" ht="15.75">
      <c r="A122" s="46" t="s">
        <v>364</v>
      </c>
      <c r="B122" s="43" t="s">
        <v>86</v>
      </c>
      <c r="C122" s="18" t="s">
        <v>200</v>
      </c>
      <c r="D122" s="30" t="s">
        <v>187</v>
      </c>
      <c r="E122" s="18" t="s">
        <v>365</v>
      </c>
      <c r="F122" s="30"/>
      <c r="G122" s="85"/>
      <c r="H122" s="38">
        <f>H123</f>
        <v>24148.6</v>
      </c>
      <c r="I122" s="49"/>
    </row>
    <row r="123" spans="1:9" ht="15.75">
      <c r="A123" s="418" t="s">
        <v>146</v>
      </c>
      <c r="B123" s="419" t="s">
        <v>86</v>
      </c>
      <c r="C123" s="420" t="s">
        <v>200</v>
      </c>
      <c r="D123" s="421" t="s">
        <v>187</v>
      </c>
      <c r="E123" s="420" t="s">
        <v>365</v>
      </c>
      <c r="F123" s="421" t="s">
        <v>278</v>
      </c>
      <c r="G123" s="422" t="s">
        <v>278</v>
      </c>
      <c r="H123" s="423">
        <f>1354+2500+20294.6</f>
        <v>24148.6</v>
      </c>
      <c r="I123" s="424"/>
    </row>
    <row r="124" spans="1:9" ht="26.25">
      <c r="A124" s="46" t="s">
        <v>390</v>
      </c>
      <c r="B124" s="43" t="s">
        <v>86</v>
      </c>
      <c r="C124" s="18" t="s">
        <v>200</v>
      </c>
      <c r="D124" s="30" t="s">
        <v>187</v>
      </c>
      <c r="E124" s="18" t="s">
        <v>391</v>
      </c>
      <c r="F124" s="30"/>
      <c r="G124" s="85"/>
      <c r="H124" s="38">
        <f>H125</f>
        <v>77984.79999999999</v>
      </c>
      <c r="I124" s="38">
        <f>I125</f>
        <v>54173.299999999996</v>
      </c>
    </row>
    <row r="125" spans="1:9" ht="15.75">
      <c r="A125" s="46" t="s">
        <v>392</v>
      </c>
      <c r="B125" s="43" t="s">
        <v>86</v>
      </c>
      <c r="C125" s="18" t="s">
        <v>200</v>
      </c>
      <c r="D125" s="30" t="s">
        <v>187</v>
      </c>
      <c r="E125" s="18" t="s">
        <v>463</v>
      </c>
      <c r="F125" s="30"/>
      <c r="G125" s="85"/>
      <c r="H125" s="38">
        <f>H126+H127</f>
        <v>77984.79999999999</v>
      </c>
      <c r="I125" s="38">
        <f>I126+I127</f>
        <v>54173.299999999996</v>
      </c>
    </row>
    <row r="126" spans="1:9" ht="69.75" customHeight="1">
      <c r="A126" s="46" t="s">
        <v>460</v>
      </c>
      <c r="B126" s="43" t="s">
        <v>86</v>
      </c>
      <c r="C126" s="18" t="s">
        <v>200</v>
      </c>
      <c r="D126" s="30" t="s">
        <v>187</v>
      </c>
      <c r="E126" s="18" t="s">
        <v>463</v>
      </c>
      <c r="F126" s="30" t="s">
        <v>67</v>
      </c>
      <c r="G126" s="85" t="s">
        <v>461</v>
      </c>
      <c r="H126" s="38">
        <f>2100+43791.2</f>
        <v>45891.2</v>
      </c>
      <c r="I126" s="49">
        <v>43791.2</v>
      </c>
    </row>
    <row r="127" spans="1:9" ht="71.25" customHeight="1">
      <c r="A127" s="46" t="s">
        <v>462</v>
      </c>
      <c r="B127" s="43" t="s">
        <v>86</v>
      </c>
      <c r="C127" s="18" t="s">
        <v>200</v>
      </c>
      <c r="D127" s="30" t="s">
        <v>187</v>
      </c>
      <c r="E127" s="18" t="s">
        <v>463</v>
      </c>
      <c r="F127" s="30" t="s">
        <v>67</v>
      </c>
      <c r="G127" s="85" t="s">
        <v>461</v>
      </c>
      <c r="H127" s="38">
        <f>21711.5+10382.1</f>
        <v>32093.6</v>
      </c>
      <c r="I127" s="49">
        <v>10382.1</v>
      </c>
    </row>
    <row r="128" spans="1:9" ht="15.75">
      <c r="A128" s="26" t="s">
        <v>131</v>
      </c>
      <c r="B128" s="43" t="s">
        <v>86</v>
      </c>
      <c r="C128" s="18" t="s">
        <v>200</v>
      </c>
      <c r="D128" s="30" t="s">
        <v>187</v>
      </c>
      <c r="E128" s="18" t="s">
        <v>132</v>
      </c>
      <c r="F128" s="30"/>
      <c r="G128" s="85"/>
      <c r="H128" s="38">
        <f>H131+H129</f>
        <v>23563.7</v>
      </c>
      <c r="I128" s="49"/>
    </row>
    <row r="129" spans="1:9" ht="26.25">
      <c r="A129" s="109" t="s">
        <v>371</v>
      </c>
      <c r="B129" s="43" t="s">
        <v>86</v>
      </c>
      <c r="C129" s="18" t="s">
        <v>200</v>
      </c>
      <c r="D129" s="30" t="s">
        <v>187</v>
      </c>
      <c r="E129" s="20" t="s">
        <v>264</v>
      </c>
      <c r="F129" s="7"/>
      <c r="G129" s="51"/>
      <c r="H129" s="38">
        <f>H130</f>
        <v>23563.7</v>
      </c>
      <c r="I129" s="49"/>
    </row>
    <row r="130" spans="1:9" ht="15.75">
      <c r="A130" s="35" t="s">
        <v>209</v>
      </c>
      <c r="B130" s="43" t="s">
        <v>86</v>
      </c>
      <c r="C130" s="18" t="s">
        <v>200</v>
      </c>
      <c r="D130" s="30" t="s">
        <v>187</v>
      </c>
      <c r="E130" s="20" t="s">
        <v>264</v>
      </c>
      <c r="F130" s="7"/>
      <c r="G130" s="51" t="s">
        <v>67</v>
      </c>
      <c r="H130" s="38">
        <f>40000-35000+1958.7+12456+4149</f>
        <v>23563.7</v>
      </c>
      <c r="I130" s="49"/>
    </row>
    <row r="131" spans="1:9" ht="39">
      <c r="A131" s="277" t="s">
        <v>362</v>
      </c>
      <c r="B131" s="30" t="s">
        <v>86</v>
      </c>
      <c r="C131" s="18" t="s">
        <v>200</v>
      </c>
      <c r="D131" s="30" t="s">
        <v>187</v>
      </c>
      <c r="E131" s="18" t="s">
        <v>293</v>
      </c>
      <c r="F131" s="30"/>
      <c r="G131" s="85"/>
      <c r="H131" s="38">
        <f>H132</f>
        <v>0</v>
      </c>
      <c r="I131" s="49"/>
    </row>
    <row r="132" spans="1:9" ht="15.75">
      <c r="A132" s="35" t="s">
        <v>209</v>
      </c>
      <c r="B132" s="43" t="s">
        <v>86</v>
      </c>
      <c r="C132" s="18" t="s">
        <v>200</v>
      </c>
      <c r="D132" s="30" t="s">
        <v>187</v>
      </c>
      <c r="E132" s="18" t="s">
        <v>293</v>
      </c>
      <c r="F132" s="30" t="s">
        <v>278</v>
      </c>
      <c r="G132" s="85" t="s">
        <v>67</v>
      </c>
      <c r="H132" s="38">
        <f>820-820</f>
        <v>0</v>
      </c>
      <c r="I132" s="49"/>
    </row>
    <row r="133" spans="1:9" ht="18.75" customHeight="1">
      <c r="A133" s="427" t="s">
        <v>134</v>
      </c>
      <c r="B133" s="106" t="s">
        <v>86</v>
      </c>
      <c r="C133" s="103" t="s">
        <v>200</v>
      </c>
      <c r="D133" s="115" t="s">
        <v>191</v>
      </c>
      <c r="E133" s="103"/>
      <c r="F133" s="115"/>
      <c r="G133" s="135"/>
      <c r="H133" s="84">
        <f>H146+H157+H134+H138</f>
        <v>60750.20000000001</v>
      </c>
      <c r="I133" s="84">
        <f>I146</f>
        <v>0</v>
      </c>
    </row>
    <row r="134" spans="1:9" ht="29.25" customHeight="1">
      <c r="A134" s="35" t="s">
        <v>206</v>
      </c>
      <c r="B134" s="43" t="s">
        <v>86</v>
      </c>
      <c r="C134" s="22" t="s">
        <v>200</v>
      </c>
      <c r="D134" s="29" t="s">
        <v>191</v>
      </c>
      <c r="E134" s="22" t="s">
        <v>71</v>
      </c>
      <c r="F134" s="29"/>
      <c r="G134" s="124"/>
      <c r="H134" s="36">
        <f>H135</f>
        <v>2000</v>
      </c>
      <c r="I134" s="222"/>
    </row>
    <row r="135" spans="1:9" ht="42.75" customHeight="1">
      <c r="A135" s="35" t="s">
        <v>207</v>
      </c>
      <c r="B135" s="43" t="s">
        <v>86</v>
      </c>
      <c r="C135" s="22" t="s">
        <v>200</v>
      </c>
      <c r="D135" s="29" t="s">
        <v>191</v>
      </c>
      <c r="E135" s="22" t="s">
        <v>208</v>
      </c>
      <c r="F135" s="29"/>
      <c r="G135" s="124"/>
      <c r="H135" s="36">
        <f>H136</f>
        <v>2000</v>
      </c>
      <c r="I135" s="222"/>
    </row>
    <row r="136" spans="1:9" ht="43.5" customHeight="1">
      <c r="A136" s="35" t="s">
        <v>342</v>
      </c>
      <c r="B136" s="43" t="s">
        <v>86</v>
      </c>
      <c r="C136" s="22" t="s">
        <v>200</v>
      </c>
      <c r="D136" s="29" t="s">
        <v>191</v>
      </c>
      <c r="E136" s="22" t="s">
        <v>243</v>
      </c>
      <c r="F136" s="29"/>
      <c r="G136" s="124"/>
      <c r="H136" s="36">
        <f>H137</f>
        <v>2000</v>
      </c>
      <c r="I136" s="222"/>
    </row>
    <row r="137" spans="1:9" ht="16.5" customHeight="1">
      <c r="A137" s="35" t="s">
        <v>209</v>
      </c>
      <c r="B137" s="42" t="s">
        <v>86</v>
      </c>
      <c r="C137" s="22" t="s">
        <v>200</v>
      </c>
      <c r="D137" s="29" t="s">
        <v>191</v>
      </c>
      <c r="E137" s="22" t="s">
        <v>243</v>
      </c>
      <c r="F137" s="29"/>
      <c r="G137" s="124" t="s">
        <v>67</v>
      </c>
      <c r="H137" s="36">
        <f>4500+500-3000</f>
        <v>2000</v>
      </c>
      <c r="I137" s="222"/>
    </row>
    <row r="138" spans="1:9" ht="16.5" customHeight="1">
      <c r="A138" s="35" t="s">
        <v>54</v>
      </c>
      <c r="B138" s="42" t="s">
        <v>86</v>
      </c>
      <c r="C138" s="22" t="s">
        <v>200</v>
      </c>
      <c r="D138" s="29" t="s">
        <v>191</v>
      </c>
      <c r="E138" s="242" t="s">
        <v>75</v>
      </c>
      <c r="F138" s="242"/>
      <c r="G138" s="272"/>
      <c r="H138" s="273">
        <f>H139</f>
        <v>12271.7</v>
      </c>
      <c r="I138" s="222"/>
    </row>
    <row r="139" spans="1:9" ht="16.5" customHeight="1">
      <c r="A139" s="35" t="s">
        <v>430</v>
      </c>
      <c r="B139" s="42" t="s">
        <v>86</v>
      </c>
      <c r="C139" s="22" t="s">
        <v>200</v>
      </c>
      <c r="D139" s="29" t="s">
        <v>191</v>
      </c>
      <c r="E139" s="242" t="s">
        <v>431</v>
      </c>
      <c r="F139" s="242"/>
      <c r="G139" s="272"/>
      <c r="H139" s="273">
        <f>H140+H142+H144</f>
        <v>12271.7</v>
      </c>
      <c r="I139" s="222"/>
    </row>
    <row r="140" spans="1:9" ht="16.5" customHeight="1">
      <c r="A140" s="35" t="s">
        <v>432</v>
      </c>
      <c r="B140" s="42" t="s">
        <v>86</v>
      </c>
      <c r="C140" s="22" t="s">
        <v>200</v>
      </c>
      <c r="D140" s="29" t="s">
        <v>191</v>
      </c>
      <c r="E140" s="242" t="s">
        <v>433</v>
      </c>
      <c r="F140" s="242"/>
      <c r="G140" s="272"/>
      <c r="H140" s="273">
        <f>H141</f>
        <v>1193.9</v>
      </c>
      <c r="I140" s="222"/>
    </row>
    <row r="141" spans="1:9" ht="16.5" customHeight="1">
      <c r="A141" s="35" t="s">
        <v>181</v>
      </c>
      <c r="B141" s="42" t="s">
        <v>86</v>
      </c>
      <c r="C141" s="22" t="s">
        <v>200</v>
      </c>
      <c r="D141" s="29" t="s">
        <v>191</v>
      </c>
      <c r="E141" s="242" t="s">
        <v>433</v>
      </c>
      <c r="F141" s="242" t="s">
        <v>87</v>
      </c>
      <c r="G141" s="272" t="s">
        <v>87</v>
      </c>
      <c r="H141" s="273">
        <v>1193.9</v>
      </c>
      <c r="I141" s="222"/>
    </row>
    <row r="142" spans="1:9" ht="16.5" customHeight="1">
      <c r="A142" s="35" t="s">
        <v>137</v>
      </c>
      <c r="B142" s="42" t="s">
        <v>86</v>
      </c>
      <c r="C142" s="22" t="s">
        <v>200</v>
      </c>
      <c r="D142" s="29" t="s">
        <v>191</v>
      </c>
      <c r="E142" s="242" t="s">
        <v>434</v>
      </c>
      <c r="F142" s="242"/>
      <c r="G142" s="272"/>
      <c r="H142" s="273">
        <f>H143</f>
        <v>1082.1</v>
      </c>
      <c r="I142" s="222"/>
    </row>
    <row r="143" spans="1:9" ht="16.5" customHeight="1">
      <c r="A143" s="35" t="s">
        <v>181</v>
      </c>
      <c r="B143" s="42" t="s">
        <v>86</v>
      </c>
      <c r="C143" s="22" t="s">
        <v>200</v>
      </c>
      <c r="D143" s="29" t="s">
        <v>191</v>
      </c>
      <c r="E143" s="242" t="s">
        <v>434</v>
      </c>
      <c r="F143" s="242" t="s">
        <v>87</v>
      </c>
      <c r="G143" s="272" t="s">
        <v>87</v>
      </c>
      <c r="H143" s="273">
        <v>1082.1</v>
      </c>
      <c r="I143" s="222"/>
    </row>
    <row r="144" spans="1:9" ht="16.5" customHeight="1">
      <c r="A144" s="35" t="s">
        <v>435</v>
      </c>
      <c r="B144" s="42" t="s">
        <v>86</v>
      </c>
      <c r="C144" s="22" t="s">
        <v>200</v>
      </c>
      <c r="D144" s="29" t="s">
        <v>191</v>
      </c>
      <c r="E144" s="242" t="s">
        <v>436</v>
      </c>
      <c r="F144" s="242"/>
      <c r="G144" s="272"/>
      <c r="H144" s="273">
        <f>H145</f>
        <v>9995.7</v>
      </c>
      <c r="I144" s="222"/>
    </row>
    <row r="145" spans="1:9" ht="16.5" customHeight="1">
      <c r="A145" s="35" t="s">
        <v>181</v>
      </c>
      <c r="B145" s="42" t="s">
        <v>86</v>
      </c>
      <c r="C145" s="22" t="s">
        <v>200</v>
      </c>
      <c r="D145" s="29" t="s">
        <v>191</v>
      </c>
      <c r="E145" s="242" t="s">
        <v>436</v>
      </c>
      <c r="F145" s="242" t="s">
        <v>87</v>
      </c>
      <c r="G145" s="272" t="s">
        <v>87</v>
      </c>
      <c r="H145" s="273">
        <v>9995.7</v>
      </c>
      <c r="I145" s="222"/>
    </row>
    <row r="146" spans="1:9" ht="15.75">
      <c r="A146" s="25" t="s">
        <v>134</v>
      </c>
      <c r="B146" s="43" t="s">
        <v>86</v>
      </c>
      <c r="C146" s="18" t="s">
        <v>200</v>
      </c>
      <c r="D146" s="30" t="s">
        <v>191</v>
      </c>
      <c r="E146" s="20" t="s">
        <v>294</v>
      </c>
      <c r="F146" s="31"/>
      <c r="G146" s="87"/>
      <c r="H146" s="36">
        <f>H147+H149+H151+H153+H155</f>
        <v>42567.600000000006</v>
      </c>
      <c r="I146" s="60">
        <f>I147</f>
        <v>0</v>
      </c>
    </row>
    <row r="147" spans="1:9" s="23" customFormat="1" ht="15.75">
      <c r="A147" s="110" t="s">
        <v>321</v>
      </c>
      <c r="B147" s="43" t="s">
        <v>86</v>
      </c>
      <c r="C147" s="18" t="s">
        <v>200</v>
      </c>
      <c r="D147" s="30" t="s">
        <v>191</v>
      </c>
      <c r="E147" s="20" t="s">
        <v>322</v>
      </c>
      <c r="F147" s="7"/>
      <c r="G147" s="51"/>
      <c r="H147" s="38">
        <f>H148</f>
        <v>11997.900000000001</v>
      </c>
      <c r="I147" s="38">
        <f>I148</f>
        <v>0</v>
      </c>
    </row>
    <row r="148" spans="1:9" ht="15.75">
      <c r="A148" s="27" t="s">
        <v>146</v>
      </c>
      <c r="B148" s="43" t="s">
        <v>86</v>
      </c>
      <c r="C148" s="18" t="s">
        <v>200</v>
      </c>
      <c r="D148" s="30" t="s">
        <v>191</v>
      </c>
      <c r="E148" s="20" t="s">
        <v>322</v>
      </c>
      <c r="F148" s="7"/>
      <c r="G148" s="51" t="s">
        <v>278</v>
      </c>
      <c r="H148" s="38">
        <f>15224+10000-7000+657.9-6884</f>
        <v>11997.900000000001</v>
      </c>
      <c r="I148" s="50"/>
    </row>
    <row r="149" spans="1:9" ht="28.5" customHeight="1">
      <c r="A149" s="277" t="s">
        <v>295</v>
      </c>
      <c r="B149" s="30" t="s">
        <v>86</v>
      </c>
      <c r="C149" s="18" t="s">
        <v>200</v>
      </c>
      <c r="D149" s="30" t="s">
        <v>191</v>
      </c>
      <c r="E149" s="20" t="s">
        <v>296</v>
      </c>
      <c r="F149" s="7"/>
      <c r="G149" s="51"/>
      <c r="H149" s="38">
        <f>H150</f>
        <v>7970.5</v>
      </c>
      <c r="I149" s="38">
        <f>I150</f>
        <v>0</v>
      </c>
    </row>
    <row r="150" spans="1:9" ht="15.75">
      <c r="A150" s="27" t="s">
        <v>146</v>
      </c>
      <c r="B150" s="43" t="s">
        <v>86</v>
      </c>
      <c r="C150" s="18" t="s">
        <v>200</v>
      </c>
      <c r="D150" s="30" t="s">
        <v>191</v>
      </c>
      <c r="E150" s="20" t="s">
        <v>296</v>
      </c>
      <c r="F150" s="7"/>
      <c r="G150" s="51" t="s">
        <v>278</v>
      </c>
      <c r="H150" s="38">
        <f>10000-8000+1000-1000+5970.5</f>
        <v>7970.5</v>
      </c>
      <c r="I150" s="50"/>
    </row>
    <row r="151" spans="1:9" ht="15.75">
      <c r="A151" s="8" t="s">
        <v>137</v>
      </c>
      <c r="B151" s="43" t="s">
        <v>86</v>
      </c>
      <c r="C151" s="18" t="s">
        <v>200</v>
      </c>
      <c r="D151" s="30" t="s">
        <v>191</v>
      </c>
      <c r="E151" s="20" t="s">
        <v>323</v>
      </c>
      <c r="F151" s="7"/>
      <c r="G151" s="51"/>
      <c r="H151" s="38">
        <f>H152</f>
        <v>6253</v>
      </c>
      <c r="I151" s="38">
        <f>I152</f>
        <v>0</v>
      </c>
    </row>
    <row r="152" spans="1:9" ht="15.75">
      <c r="A152" s="27" t="s">
        <v>146</v>
      </c>
      <c r="B152" s="43" t="s">
        <v>86</v>
      </c>
      <c r="C152" s="18" t="s">
        <v>200</v>
      </c>
      <c r="D152" s="30" t="s">
        <v>191</v>
      </c>
      <c r="E152" s="20" t="s">
        <v>323</v>
      </c>
      <c r="F152" s="7"/>
      <c r="G152" s="51" t="s">
        <v>278</v>
      </c>
      <c r="H152" s="38">
        <f>12061-808-5000</f>
        <v>6253</v>
      </c>
      <c r="I152" s="50"/>
    </row>
    <row r="153" spans="1:9" ht="15.75">
      <c r="A153" s="8" t="s">
        <v>145</v>
      </c>
      <c r="B153" s="43" t="s">
        <v>86</v>
      </c>
      <c r="C153" s="18" t="s">
        <v>200</v>
      </c>
      <c r="D153" s="30" t="s">
        <v>191</v>
      </c>
      <c r="E153" s="20" t="s">
        <v>324</v>
      </c>
      <c r="F153" s="7"/>
      <c r="G153" s="51"/>
      <c r="H153" s="38">
        <f>H154</f>
        <v>3638</v>
      </c>
      <c r="I153" s="38">
        <f>I154</f>
        <v>0</v>
      </c>
    </row>
    <row r="154" spans="1:9" ht="15.75">
      <c r="A154" s="27" t="s">
        <v>146</v>
      </c>
      <c r="B154" s="43" t="s">
        <v>86</v>
      </c>
      <c r="C154" s="18" t="s">
        <v>200</v>
      </c>
      <c r="D154" s="30" t="s">
        <v>191</v>
      </c>
      <c r="E154" s="20" t="s">
        <v>324</v>
      </c>
      <c r="F154" s="7"/>
      <c r="G154" s="51" t="s">
        <v>278</v>
      </c>
      <c r="H154" s="38">
        <f>17028-1568-4683-9000+2861-1000</f>
        <v>3638</v>
      </c>
      <c r="I154" s="50"/>
    </row>
    <row r="155" spans="1:9" ht="15.75">
      <c r="A155" s="8" t="s">
        <v>325</v>
      </c>
      <c r="B155" s="43" t="s">
        <v>86</v>
      </c>
      <c r="C155" s="18" t="s">
        <v>200</v>
      </c>
      <c r="D155" s="30" t="s">
        <v>191</v>
      </c>
      <c r="E155" s="20" t="s">
        <v>326</v>
      </c>
      <c r="F155" s="7"/>
      <c r="G155" s="57"/>
      <c r="H155" s="38">
        <f>H156</f>
        <v>12708.2</v>
      </c>
      <c r="I155" s="49">
        <f>I156</f>
        <v>0</v>
      </c>
    </row>
    <row r="156" spans="1:9" ht="15.75">
      <c r="A156" s="27" t="s">
        <v>146</v>
      </c>
      <c r="B156" s="43" t="s">
        <v>86</v>
      </c>
      <c r="C156" s="18" t="s">
        <v>200</v>
      </c>
      <c r="D156" s="30" t="s">
        <v>191</v>
      </c>
      <c r="E156" s="20" t="s">
        <v>326</v>
      </c>
      <c r="F156" s="7"/>
      <c r="G156" s="51" t="s">
        <v>278</v>
      </c>
      <c r="H156" s="38">
        <f>10000+25000+21442-3000-11000-1437-4000-27000+1895.2+808</f>
        <v>12708.2</v>
      </c>
      <c r="I156" s="38"/>
    </row>
    <row r="157" spans="1:9" ht="15.75">
      <c r="A157" s="8" t="s">
        <v>131</v>
      </c>
      <c r="B157" s="43" t="s">
        <v>86</v>
      </c>
      <c r="C157" s="18" t="s">
        <v>200</v>
      </c>
      <c r="D157" s="30" t="s">
        <v>191</v>
      </c>
      <c r="E157" s="20" t="s">
        <v>132</v>
      </c>
      <c r="F157" s="7"/>
      <c r="G157" s="51"/>
      <c r="H157" s="38">
        <f>H158</f>
        <v>3910.8999999999996</v>
      </c>
      <c r="I157" s="50"/>
    </row>
    <row r="158" spans="1:9" ht="39">
      <c r="A158" s="109" t="s">
        <v>372</v>
      </c>
      <c r="B158" s="43" t="s">
        <v>86</v>
      </c>
      <c r="C158" s="18" t="s">
        <v>200</v>
      </c>
      <c r="D158" s="30" t="s">
        <v>191</v>
      </c>
      <c r="E158" s="20" t="s">
        <v>287</v>
      </c>
      <c r="F158" s="7"/>
      <c r="G158" s="51"/>
      <c r="H158" s="38">
        <f>H159</f>
        <v>3910.8999999999996</v>
      </c>
      <c r="I158" s="38">
        <f>I159</f>
        <v>0</v>
      </c>
    </row>
    <row r="159" spans="1:9" ht="15.75">
      <c r="A159" s="27" t="s">
        <v>146</v>
      </c>
      <c r="B159" s="43" t="s">
        <v>86</v>
      </c>
      <c r="C159" s="18" t="s">
        <v>200</v>
      </c>
      <c r="D159" s="30" t="s">
        <v>191</v>
      </c>
      <c r="E159" s="20" t="s">
        <v>287</v>
      </c>
      <c r="F159" s="7"/>
      <c r="G159" s="51" t="s">
        <v>278</v>
      </c>
      <c r="H159" s="38">
        <f>4180-4180+69.2+3841.7</f>
        <v>3910.8999999999996</v>
      </c>
      <c r="I159" s="50"/>
    </row>
    <row r="160" spans="1:9" ht="15.75">
      <c r="A160" s="207" t="s">
        <v>43</v>
      </c>
      <c r="B160" s="107" t="s">
        <v>86</v>
      </c>
      <c r="C160" s="102" t="s">
        <v>205</v>
      </c>
      <c r="D160" s="115" t="s">
        <v>126</v>
      </c>
      <c r="E160" s="103"/>
      <c r="F160" s="101"/>
      <c r="G160" s="95"/>
      <c r="H160" s="84">
        <f aca="true" t="shared" si="4" ref="H160:I162">H161</f>
        <v>1071.1</v>
      </c>
      <c r="I160" s="97">
        <f t="shared" si="4"/>
        <v>0</v>
      </c>
    </row>
    <row r="161" spans="1:9" ht="15.75">
      <c r="A161" s="27" t="s">
        <v>44</v>
      </c>
      <c r="B161" s="42" t="s">
        <v>86</v>
      </c>
      <c r="C161" s="22" t="s">
        <v>205</v>
      </c>
      <c r="D161" s="29" t="s">
        <v>200</v>
      </c>
      <c r="E161" s="22"/>
      <c r="F161" s="29"/>
      <c r="G161" s="94"/>
      <c r="H161" s="37">
        <f t="shared" si="4"/>
        <v>1071.1</v>
      </c>
      <c r="I161" s="83">
        <f t="shared" si="4"/>
        <v>0</v>
      </c>
    </row>
    <row r="162" spans="1:9" ht="15.75">
      <c r="A162" s="8" t="s">
        <v>131</v>
      </c>
      <c r="B162" s="43" t="s">
        <v>86</v>
      </c>
      <c r="C162" s="18" t="s">
        <v>205</v>
      </c>
      <c r="D162" s="30" t="s">
        <v>200</v>
      </c>
      <c r="E162" s="18" t="s">
        <v>132</v>
      </c>
      <c r="F162" s="30"/>
      <c r="G162" s="85"/>
      <c r="H162" s="37">
        <f t="shared" si="4"/>
        <v>1071.1</v>
      </c>
      <c r="I162" s="83">
        <f t="shared" si="4"/>
        <v>0</v>
      </c>
    </row>
    <row r="163" spans="1:9" ht="26.25">
      <c r="A163" s="109" t="s">
        <v>368</v>
      </c>
      <c r="B163" s="44" t="s">
        <v>86</v>
      </c>
      <c r="C163" s="20" t="s">
        <v>205</v>
      </c>
      <c r="D163" s="31" t="s">
        <v>200</v>
      </c>
      <c r="E163" s="20" t="s">
        <v>262</v>
      </c>
      <c r="F163" s="31"/>
      <c r="G163" s="87"/>
      <c r="H163" s="36">
        <f>H164</f>
        <v>1071.1</v>
      </c>
      <c r="I163" s="60">
        <f>I164</f>
        <v>0</v>
      </c>
    </row>
    <row r="164" spans="1:9" ht="15.75">
      <c r="A164" s="27" t="s">
        <v>341</v>
      </c>
      <c r="B164" s="44" t="s">
        <v>86</v>
      </c>
      <c r="C164" s="20" t="s">
        <v>205</v>
      </c>
      <c r="D164" s="31" t="s">
        <v>200</v>
      </c>
      <c r="E164" s="20" t="s">
        <v>262</v>
      </c>
      <c r="F164" s="31"/>
      <c r="G164" s="51" t="s">
        <v>4</v>
      </c>
      <c r="H164" s="36">
        <f>2475+223-235-2265+873.1</f>
        <v>1071.1</v>
      </c>
      <c r="I164" s="53"/>
    </row>
    <row r="165" spans="1:9" ht="18" customHeight="1">
      <c r="A165" s="120" t="s">
        <v>6</v>
      </c>
      <c r="B165" s="106" t="s">
        <v>86</v>
      </c>
      <c r="C165" s="103" t="s">
        <v>194</v>
      </c>
      <c r="D165" s="115" t="s">
        <v>126</v>
      </c>
      <c r="E165" s="103"/>
      <c r="F165" s="101" t="s">
        <v>49</v>
      </c>
      <c r="G165" s="95"/>
      <c r="H165" s="84">
        <f>H166+H182</f>
        <v>16765.4</v>
      </c>
      <c r="I165" s="84">
        <f>I166</f>
        <v>0</v>
      </c>
    </row>
    <row r="166" spans="1:9" ht="15" customHeight="1">
      <c r="A166" s="114" t="s">
        <v>7</v>
      </c>
      <c r="B166" s="106" t="s">
        <v>86</v>
      </c>
      <c r="C166" s="17" t="s">
        <v>194</v>
      </c>
      <c r="D166" s="32" t="s">
        <v>186</v>
      </c>
      <c r="E166" s="17"/>
      <c r="F166" s="32"/>
      <c r="G166" s="123"/>
      <c r="H166" s="88">
        <f>H167+H171+H175+H179</f>
        <v>15271.2</v>
      </c>
      <c r="I166" s="88">
        <f>I167+I171</f>
        <v>0</v>
      </c>
    </row>
    <row r="167" spans="1:9" ht="26.25" hidden="1">
      <c r="A167" s="35" t="s">
        <v>206</v>
      </c>
      <c r="B167" s="43" t="s">
        <v>86</v>
      </c>
      <c r="C167" s="22" t="s">
        <v>194</v>
      </c>
      <c r="D167" s="29" t="s">
        <v>186</v>
      </c>
      <c r="E167" s="22" t="s">
        <v>71</v>
      </c>
      <c r="F167" s="29"/>
      <c r="G167" s="124"/>
      <c r="H167" s="37">
        <f aca="true" t="shared" si="5" ref="H167:I169">H168</f>
        <v>0</v>
      </c>
      <c r="I167" s="83">
        <f t="shared" si="5"/>
        <v>0</v>
      </c>
    </row>
    <row r="168" spans="1:9" s="23" customFormat="1" ht="43.5" customHeight="1" hidden="1">
      <c r="A168" s="35" t="s">
        <v>207</v>
      </c>
      <c r="B168" s="43" t="s">
        <v>86</v>
      </c>
      <c r="C168" s="22" t="s">
        <v>194</v>
      </c>
      <c r="D168" s="29" t="s">
        <v>186</v>
      </c>
      <c r="E168" s="22" t="s">
        <v>208</v>
      </c>
      <c r="F168" s="29"/>
      <c r="G168" s="124"/>
      <c r="H168" s="37">
        <f t="shared" si="5"/>
        <v>0</v>
      </c>
      <c r="I168" s="83">
        <f t="shared" si="5"/>
        <v>0</v>
      </c>
    </row>
    <row r="169" spans="1:9" ht="64.5" hidden="1">
      <c r="A169" s="35" t="s">
        <v>482</v>
      </c>
      <c r="B169" s="43" t="s">
        <v>86</v>
      </c>
      <c r="C169" s="22" t="s">
        <v>194</v>
      </c>
      <c r="D169" s="29" t="s">
        <v>186</v>
      </c>
      <c r="E169" s="22" t="s">
        <v>243</v>
      </c>
      <c r="F169" s="29"/>
      <c r="G169" s="124"/>
      <c r="H169" s="37">
        <f t="shared" si="5"/>
        <v>0</v>
      </c>
      <c r="I169" s="83">
        <f t="shared" si="5"/>
        <v>0</v>
      </c>
    </row>
    <row r="170" spans="1:9" ht="15.75" hidden="1">
      <c r="A170" s="35" t="s">
        <v>209</v>
      </c>
      <c r="B170" s="42" t="s">
        <v>86</v>
      </c>
      <c r="C170" s="22" t="s">
        <v>194</v>
      </c>
      <c r="D170" s="29" t="s">
        <v>186</v>
      </c>
      <c r="E170" s="22" t="s">
        <v>243</v>
      </c>
      <c r="F170" s="29"/>
      <c r="G170" s="124" t="s">
        <v>67</v>
      </c>
      <c r="H170" s="37">
        <f>38000+38000-38000-30000-8000</f>
        <v>0</v>
      </c>
      <c r="I170" s="83">
        <f>38000-38000</f>
        <v>0</v>
      </c>
    </row>
    <row r="171" spans="1:9" ht="26.25">
      <c r="A171" s="35" t="s">
        <v>206</v>
      </c>
      <c r="B171" s="42" t="s">
        <v>86</v>
      </c>
      <c r="C171" s="22" t="s">
        <v>194</v>
      </c>
      <c r="D171" s="29" t="s">
        <v>186</v>
      </c>
      <c r="E171" s="22" t="s">
        <v>71</v>
      </c>
      <c r="F171" s="29"/>
      <c r="G171" s="113"/>
      <c r="H171" s="38">
        <f aca="true" t="shared" si="6" ref="H171:I173">H172</f>
        <v>500</v>
      </c>
      <c r="I171" s="49">
        <f t="shared" si="6"/>
        <v>0</v>
      </c>
    </row>
    <row r="172" spans="1:9" ht="26.25">
      <c r="A172" s="35" t="s">
        <v>276</v>
      </c>
      <c r="B172" s="42" t="s">
        <v>86</v>
      </c>
      <c r="C172" s="22" t="s">
        <v>194</v>
      </c>
      <c r="D172" s="29" t="s">
        <v>186</v>
      </c>
      <c r="E172" s="22" t="s">
        <v>208</v>
      </c>
      <c r="F172" s="29"/>
      <c r="G172" s="113"/>
      <c r="H172" s="38">
        <f t="shared" si="6"/>
        <v>500</v>
      </c>
      <c r="I172" s="49">
        <f t="shared" si="6"/>
        <v>0</v>
      </c>
    </row>
    <row r="173" spans="1:9" ht="69.75" customHeight="1">
      <c r="A173" s="35" t="s">
        <v>345</v>
      </c>
      <c r="B173" s="43" t="s">
        <v>86</v>
      </c>
      <c r="C173" s="22" t="s">
        <v>194</v>
      </c>
      <c r="D173" s="29" t="s">
        <v>186</v>
      </c>
      <c r="E173" s="22" t="s">
        <v>243</v>
      </c>
      <c r="F173" s="29"/>
      <c r="G173" s="113"/>
      <c r="H173" s="38">
        <f t="shared" si="6"/>
        <v>500</v>
      </c>
      <c r="I173" s="49">
        <f t="shared" si="6"/>
        <v>0</v>
      </c>
    </row>
    <row r="174" spans="1:9" ht="18.75" customHeight="1">
      <c r="A174" s="35" t="s">
        <v>209</v>
      </c>
      <c r="B174" s="42" t="s">
        <v>86</v>
      </c>
      <c r="C174" s="22" t="s">
        <v>194</v>
      </c>
      <c r="D174" s="29" t="s">
        <v>186</v>
      </c>
      <c r="E174" s="22" t="s">
        <v>243</v>
      </c>
      <c r="F174" s="29" t="s">
        <v>67</v>
      </c>
      <c r="G174" s="113" t="s">
        <v>67</v>
      </c>
      <c r="H174" s="38">
        <v>500</v>
      </c>
      <c r="I174" s="49"/>
    </row>
    <row r="175" spans="1:9" ht="27" customHeight="1">
      <c r="A175" s="35" t="s">
        <v>206</v>
      </c>
      <c r="B175" s="42" t="s">
        <v>86</v>
      </c>
      <c r="C175" s="22" t="s">
        <v>194</v>
      </c>
      <c r="D175" s="29" t="s">
        <v>186</v>
      </c>
      <c r="E175" s="22" t="s">
        <v>71</v>
      </c>
      <c r="F175" s="29"/>
      <c r="G175" s="113"/>
      <c r="H175" s="38">
        <f>H176</f>
        <v>819.2</v>
      </c>
      <c r="I175" s="49"/>
    </row>
    <row r="176" spans="1:9" ht="43.5" customHeight="1">
      <c r="A176" s="35" t="s">
        <v>207</v>
      </c>
      <c r="B176" s="42" t="s">
        <v>86</v>
      </c>
      <c r="C176" s="22" t="s">
        <v>194</v>
      </c>
      <c r="D176" s="29" t="s">
        <v>186</v>
      </c>
      <c r="E176" s="22" t="s">
        <v>208</v>
      </c>
      <c r="F176" s="29"/>
      <c r="G176" s="113"/>
      <c r="H176" s="38">
        <f>H177</f>
        <v>819.2</v>
      </c>
      <c r="I176" s="49"/>
    </row>
    <row r="177" spans="1:9" ht="41.25" customHeight="1">
      <c r="A177" s="35" t="s">
        <v>437</v>
      </c>
      <c r="B177" s="42" t="s">
        <v>86</v>
      </c>
      <c r="C177" s="22" t="s">
        <v>194</v>
      </c>
      <c r="D177" s="29" t="s">
        <v>186</v>
      </c>
      <c r="E177" s="22" t="s">
        <v>243</v>
      </c>
      <c r="F177" s="29"/>
      <c r="G177" s="113"/>
      <c r="H177" s="38">
        <f>H178</f>
        <v>819.2</v>
      </c>
      <c r="I177" s="49"/>
    </row>
    <row r="178" spans="1:9" ht="14.25" customHeight="1">
      <c r="A178" s="35" t="s">
        <v>209</v>
      </c>
      <c r="B178" s="42" t="s">
        <v>86</v>
      </c>
      <c r="C178" s="22" t="s">
        <v>194</v>
      </c>
      <c r="D178" s="29" t="s">
        <v>186</v>
      </c>
      <c r="E178" s="22" t="s">
        <v>243</v>
      </c>
      <c r="F178" s="29" t="s">
        <v>67</v>
      </c>
      <c r="G178" s="113" t="s">
        <v>67</v>
      </c>
      <c r="H178" s="273">
        <v>819.2</v>
      </c>
      <c r="I178" s="49"/>
    </row>
    <row r="179" spans="1:9" ht="17.25" customHeight="1">
      <c r="A179" s="35" t="s">
        <v>8</v>
      </c>
      <c r="B179" s="42" t="s">
        <v>86</v>
      </c>
      <c r="C179" s="22" t="s">
        <v>194</v>
      </c>
      <c r="D179" s="29" t="s">
        <v>186</v>
      </c>
      <c r="E179" s="22" t="s">
        <v>26</v>
      </c>
      <c r="F179" s="29"/>
      <c r="G179" s="113"/>
      <c r="H179" s="273">
        <f>H180</f>
        <v>13952</v>
      </c>
      <c r="I179" s="49"/>
    </row>
    <row r="180" spans="1:9" ht="15" customHeight="1">
      <c r="A180" s="35" t="s">
        <v>27</v>
      </c>
      <c r="B180" s="42" t="s">
        <v>86</v>
      </c>
      <c r="C180" s="22" t="s">
        <v>194</v>
      </c>
      <c r="D180" s="29" t="s">
        <v>186</v>
      </c>
      <c r="E180" s="22" t="s">
        <v>210</v>
      </c>
      <c r="F180" s="29"/>
      <c r="G180" s="113"/>
      <c r="H180" s="273">
        <f>H181</f>
        <v>13952</v>
      </c>
      <c r="I180" s="49"/>
    </row>
    <row r="181" spans="1:9" ht="12" customHeight="1">
      <c r="A181" s="35" t="s">
        <v>172</v>
      </c>
      <c r="B181" s="42" t="s">
        <v>86</v>
      </c>
      <c r="C181" s="22" t="s">
        <v>194</v>
      </c>
      <c r="D181" s="29" t="s">
        <v>186</v>
      </c>
      <c r="E181" s="22" t="s">
        <v>210</v>
      </c>
      <c r="F181" s="29" t="s">
        <v>86</v>
      </c>
      <c r="G181" s="113" t="s">
        <v>86</v>
      </c>
      <c r="H181" s="273">
        <v>13952</v>
      </c>
      <c r="I181" s="49"/>
    </row>
    <row r="182" spans="1:9" ht="12" customHeight="1">
      <c r="A182" s="35" t="s">
        <v>9</v>
      </c>
      <c r="B182" s="42" t="s">
        <v>86</v>
      </c>
      <c r="C182" s="22" t="s">
        <v>194</v>
      </c>
      <c r="D182" s="29" t="s">
        <v>187</v>
      </c>
      <c r="E182" s="22"/>
      <c r="F182" s="29"/>
      <c r="G182" s="113"/>
      <c r="H182" s="38">
        <f>H183+H187</f>
        <v>1494.1999999999998</v>
      </c>
      <c r="I182" s="49"/>
    </row>
    <row r="183" spans="1:9" ht="30.75" customHeight="1">
      <c r="A183" s="35" t="s">
        <v>206</v>
      </c>
      <c r="B183" s="42" t="s">
        <v>86</v>
      </c>
      <c r="C183" s="22" t="s">
        <v>194</v>
      </c>
      <c r="D183" s="29" t="s">
        <v>187</v>
      </c>
      <c r="E183" s="22" t="s">
        <v>71</v>
      </c>
      <c r="F183" s="29"/>
      <c r="G183" s="113"/>
      <c r="H183" s="38">
        <f>H184</f>
        <v>329.6</v>
      </c>
      <c r="I183" s="49"/>
    </row>
    <row r="184" spans="1:9" ht="44.25" customHeight="1">
      <c r="A184" s="35" t="s">
        <v>207</v>
      </c>
      <c r="B184" s="42" t="s">
        <v>86</v>
      </c>
      <c r="C184" s="22" t="s">
        <v>194</v>
      </c>
      <c r="D184" s="29" t="s">
        <v>187</v>
      </c>
      <c r="E184" s="22" t="s">
        <v>208</v>
      </c>
      <c r="F184" s="29"/>
      <c r="G184" s="113"/>
      <c r="H184" s="38">
        <f>H185</f>
        <v>329.6</v>
      </c>
      <c r="I184" s="49"/>
    </row>
    <row r="185" spans="1:9" ht="42" customHeight="1">
      <c r="A185" s="35" t="s">
        <v>438</v>
      </c>
      <c r="B185" s="42" t="s">
        <v>86</v>
      </c>
      <c r="C185" s="22" t="s">
        <v>194</v>
      </c>
      <c r="D185" s="29" t="s">
        <v>187</v>
      </c>
      <c r="E185" s="22" t="s">
        <v>243</v>
      </c>
      <c r="F185" s="29"/>
      <c r="G185" s="113"/>
      <c r="H185" s="38">
        <f>H186</f>
        <v>329.6</v>
      </c>
      <c r="I185" s="49"/>
    </row>
    <row r="186" spans="1:9" ht="15" customHeight="1">
      <c r="A186" s="35" t="s">
        <v>209</v>
      </c>
      <c r="B186" s="42" t="s">
        <v>86</v>
      </c>
      <c r="C186" s="22" t="s">
        <v>194</v>
      </c>
      <c r="D186" s="29" t="s">
        <v>187</v>
      </c>
      <c r="E186" s="22" t="s">
        <v>243</v>
      </c>
      <c r="F186" s="29" t="s">
        <v>67</v>
      </c>
      <c r="G186" s="113" t="s">
        <v>67</v>
      </c>
      <c r="H186" s="38">
        <v>329.6</v>
      </c>
      <c r="I186" s="49"/>
    </row>
    <row r="187" spans="1:9" ht="17.25" customHeight="1">
      <c r="A187" s="35" t="s">
        <v>31</v>
      </c>
      <c r="B187" s="42" t="s">
        <v>86</v>
      </c>
      <c r="C187" s="22" t="s">
        <v>194</v>
      </c>
      <c r="D187" s="29" t="s">
        <v>187</v>
      </c>
      <c r="E187" s="22" t="s">
        <v>32</v>
      </c>
      <c r="F187" s="29"/>
      <c r="G187" s="113"/>
      <c r="H187" s="38">
        <f>H188</f>
        <v>1164.6</v>
      </c>
      <c r="I187" s="49"/>
    </row>
    <row r="188" spans="1:9" ht="13.5" customHeight="1">
      <c r="A188" s="35" t="s">
        <v>27</v>
      </c>
      <c r="B188" s="42" t="s">
        <v>86</v>
      </c>
      <c r="C188" s="22" t="s">
        <v>194</v>
      </c>
      <c r="D188" s="29" t="s">
        <v>187</v>
      </c>
      <c r="E188" s="22" t="s">
        <v>212</v>
      </c>
      <c r="F188" s="29"/>
      <c r="G188" s="113"/>
      <c r="H188" s="38">
        <f>H189</f>
        <v>1164.6</v>
      </c>
      <c r="I188" s="49"/>
    </row>
    <row r="189" spans="1:9" ht="15" customHeight="1">
      <c r="A189" s="35" t="s">
        <v>172</v>
      </c>
      <c r="B189" s="42" t="s">
        <v>86</v>
      </c>
      <c r="C189" s="22" t="s">
        <v>194</v>
      </c>
      <c r="D189" s="29" t="s">
        <v>187</v>
      </c>
      <c r="E189" s="22" t="s">
        <v>212</v>
      </c>
      <c r="F189" s="29" t="s">
        <v>86</v>
      </c>
      <c r="G189" s="113" t="s">
        <v>86</v>
      </c>
      <c r="H189" s="38">
        <v>1164.6</v>
      </c>
      <c r="I189" s="49"/>
    </row>
    <row r="190" spans="1:9" ht="15.75">
      <c r="A190" s="120" t="s">
        <v>116</v>
      </c>
      <c r="B190" s="106" t="s">
        <v>86</v>
      </c>
      <c r="C190" s="103" t="s">
        <v>195</v>
      </c>
      <c r="D190" s="115" t="s">
        <v>126</v>
      </c>
      <c r="E190" s="103"/>
      <c r="F190" s="101"/>
      <c r="G190" s="95"/>
      <c r="H190" s="84">
        <f>H191</f>
        <v>745</v>
      </c>
      <c r="I190" s="84">
        <f>I191</f>
        <v>0</v>
      </c>
    </row>
    <row r="191" spans="1:9" ht="15.75">
      <c r="A191" s="25" t="s">
        <v>34</v>
      </c>
      <c r="B191" s="43" t="s">
        <v>86</v>
      </c>
      <c r="C191" s="22" t="s">
        <v>195</v>
      </c>
      <c r="D191" s="30" t="s">
        <v>186</v>
      </c>
      <c r="E191" s="18"/>
      <c r="F191" s="30"/>
      <c r="G191" s="113"/>
      <c r="H191" s="38">
        <f>H192+H195</f>
        <v>745</v>
      </c>
      <c r="I191" s="49">
        <f aca="true" t="shared" si="7" ref="H191:I193">I192</f>
        <v>0</v>
      </c>
    </row>
    <row r="192" spans="1:9" ht="15.75">
      <c r="A192" s="25" t="s">
        <v>100</v>
      </c>
      <c r="B192" s="43" t="s">
        <v>86</v>
      </c>
      <c r="C192" s="22" t="s">
        <v>195</v>
      </c>
      <c r="D192" s="30" t="s">
        <v>186</v>
      </c>
      <c r="E192" s="18" t="s">
        <v>39</v>
      </c>
      <c r="F192" s="30"/>
      <c r="G192" s="113"/>
      <c r="H192" s="38">
        <f t="shared" si="7"/>
        <v>0</v>
      </c>
      <c r="I192" s="49">
        <f t="shared" si="7"/>
        <v>0</v>
      </c>
    </row>
    <row r="193" spans="1:9" s="48" customFormat="1" ht="15.75">
      <c r="A193" s="25" t="s">
        <v>101</v>
      </c>
      <c r="B193" s="43" t="s">
        <v>86</v>
      </c>
      <c r="C193" s="22" t="s">
        <v>195</v>
      </c>
      <c r="D193" s="30" t="s">
        <v>186</v>
      </c>
      <c r="E193" s="18" t="s">
        <v>226</v>
      </c>
      <c r="F193" s="30"/>
      <c r="G193" s="113"/>
      <c r="H193" s="38">
        <f t="shared" si="7"/>
        <v>0</v>
      </c>
      <c r="I193" s="49">
        <f t="shared" si="7"/>
        <v>0</v>
      </c>
    </row>
    <row r="194" spans="1:9" s="48" customFormat="1" ht="15.75">
      <c r="A194" s="25" t="s">
        <v>172</v>
      </c>
      <c r="B194" s="43" t="s">
        <v>86</v>
      </c>
      <c r="C194" s="22" t="s">
        <v>195</v>
      </c>
      <c r="D194" s="30" t="s">
        <v>186</v>
      </c>
      <c r="E194" s="18" t="s">
        <v>226</v>
      </c>
      <c r="F194" s="30" t="s">
        <v>86</v>
      </c>
      <c r="G194" s="113" t="s">
        <v>86</v>
      </c>
      <c r="H194" s="38">
        <f>145+1000-1145</f>
        <v>0</v>
      </c>
      <c r="I194" s="49"/>
    </row>
    <row r="195" spans="1:9" s="48" customFormat="1" ht="15.75">
      <c r="A195" s="25" t="s">
        <v>131</v>
      </c>
      <c r="B195" s="43" t="s">
        <v>86</v>
      </c>
      <c r="C195" s="22" t="s">
        <v>195</v>
      </c>
      <c r="D195" s="29" t="s">
        <v>186</v>
      </c>
      <c r="E195" s="18" t="s">
        <v>132</v>
      </c>
      <c r="F195" s="30"/>
      <c r="G195" s="85"/>
      <c r="H195" s="38">
        <f>H196</f>
        <v>745</v>
      </c>
      <c r="I195" s="49"/>
    </row>
    <row r="196" spans="1:9" s="48" customFormat="1" ht="26.25">
      <c r="A196" s="109" t="s">
        <v>253</v>
      </c>
      <c r="B196" s="43" t="s">
        <v>86</v>
      </c>
      <c r="C196" s="22" t="s">
        <v>195</v>
      </c>
      <c r="D196" s="29" t="s">
        <v>186</v>
      </c>
      <c r="E196" s="18" t="s">
        <v>252</v>
      </c>
      <c r="F196" s="30"/>
      <c r="G196" s="85"/>
      <c r="H196" s="38">
        <f>H197</f>
        <v>745</v>
      </c>
      <c r="I196" s="49"/>
    </row>
    <row r="197" spans="1:9" s="48" customFormat="1" ht="26.25">
      <c r="A197" s="109" t="s">
        <v>346</v>
      </c>
      <c r="B197" s="43" t="s">
        <v>86</v>
      </c>
      <c r="C197" s="22" t="s">
        <v>195</v>
      </c>
      <c r="D197" s="29" t="s">
        <v>186</v>
      </c>
      <c r="E197" s="18" t="s">
        <v>252</v>
      </c>
      <c r="F197" s="30"/>
      <c r="G197" s="85" t="s">
        <v>347</v>
      </c>
      <c r="H197" s="38">
        <f>1145-400</f>
        <v>745</v>
      </c>
      <c r="I197" s="49"/>
    </row>
    <row r="198" spans="1:9" ht="15.75">
      <c r="A198" s="120" t="s">
        <v>257</v>
      </c>
      <c r="B198" s="106" t="s">
        <v>86</v>
      </c>
      <c r="C198" s="103" t="s">
        <v>192</v>
      </c>
      <c r="D198" s="115" t="s">
        <v>126</v>
      </c>
      <c r="E198" s="103"/>
      <c r="F198" s="101"/>
      <c r="G198" s="95"/>
      <c r="H198" s="84">
        <f>H213+H199+H208</f>
        <v>131759.7</v>
      </c>
      <c r="I198" s="84">
        <f>I213+I199</f>
        <v>0</v>
      </c>
    </row>
    <row r="199" spans="1:9" ht="15.75">
      <c r="A199" s="27" t="s">
        <v>228</v>
      </c>
      <c r="B199" s="42" t="s">
        <v>86</v>
      </c>
      <c r="C199" s="22" t="s">
        <v>192</v>
      </c>
      <c r="D199" s="29" t="s">
        <v>186</v>
      </c>
      <c r="E199" s="22"/>
      <c r="F199" s="6" t="s">
        <v>49</v>
      </c>
      <c r="G199" s="94"/>
      <c r="H199" s="37">
        <f>H200+H204</f>
        <v>81759.7</v>
      </c>
      <c r="I199" s="37">
        <f>I200+I204</f>
        <v>0</v>
      </c>
    </row>
    <row r="200" spans="1:9" ht="26.25">
      <c r="A200" s="35" t="s">
        <v>206</v>
      </c>
      <c r="B200" s="43" t="s">
        <v>86</v>
      </c>
      <c r="C200" s="18" t="s">
        <v>192</v>
      </c>
      <c r="D200" s="29" t="s">
        <v>186</v>
      </c>
      <c r="E200" s="18" t="s">
        <v>71</v>
      </c>
      <c r="F200" s="7" t="s">
        <v>49</v>
      </c>
      <c r="G200" s="94"/>
      <c r="H200" s="38">
        <f aca="true" t="shared" si="8" ref="H200:I202">H201</f>
        <v>80759.7</v>
      </c>
      <c r="I200" s="49">
        <f t="shared" si="8"/>
        <v>0</v>
      </c>
    </row>
    <row r="201" spans="1:9" ht="12" customHeight="1">
      <c r="A201" s="35" t="s">
        <v>207</v>
      </c>
      <c r="B201" s="43" t="s">
        <v>86</v>
      </c>
      <c r="C201" s="18" t="s">
        <v>192</v>
      </c>
      <c r="D201" s="29" t="s">
        <v>186</v>
      </c>
      <c r="E201" s="18" t="s">
        <v>208</v>
      </c>
      <c r="F201" s="7" t="s">
        <v>72</v>
      </c>
      <c r="G201" s="51"/>
      <c r="H201" s="38">
        <f t="shared" si="8"/>
        <v>80759.7</v>
      </c>
      <c r="I201" s="49">
        <f t="shared" si="8"/>
        <v>0</v>
      </c>
    </row>
    <row r="202" spans="1:9" ht="64.5">
      <c r="A202" s="35" t="s">
        <v>483</v>
      </c>
      <c r="B202" s="43" t="s">
        <v>86</v>
      </c>
      <c r="C202" s="18" t="s">
        <v>192</v>
      </c>
      <c r="D202" s="29" t="s">
        <v>186</v>
      </c>
      <c r="E202" s="18" t="s">
        <v>243</v>
      </c>
      <c r="F202" s="7"/>
      <c r="G202" s="51"/>
      <c r="H202" s="38">
        <f t="shared" si="8"/>
        <v>80759.7</v>
      </c>
      <c r="I202" s="49">
        <f t="shared" si="8"/>
        <v>0</v>
      </c>
    </row>
    <row r="203" spans="1:9" ht="15.75">
      <c r="A203" s="35" t="s">
        <v>209</v>
      </c>
      <c r="B203" s="43" t="s">
        <v>86</v>
      </c>
      <c r="C203" s="18" t="s">
        <v>192</v>
      </c>
      <c r="D203" s="29" t="s">
        <v>186</v>
      </c>
      <c r="E203" s="18" t="s">
        <v>243</v>
      </c>
      <c r="F203" s="7"/>
      <c r="G203" s="51" t="s">
        <v>67</v>
      </c>
      <c r="H203" s="38">
        <f>85000+38000-23000+759.7-20000</f>
        <v>80759.7</v>
      </c>
      <c r="I203" s="49"/>
    </row>
    <row r="204" spans="1:9" ht="26.25">
      <c r="A204" s="35" t="s">
        <v>206</v>
      </c>
      <c r="B204" s="43" t="s">
        <v>86</v>
      </c>
      <c r="C204" s="18" t="s">
        <v>192</v>
      </c>
      <c r="D204" s="29" t="s">
        <v>186</v>
      </c>
      <c r="E204" s="18" t="s">
        <v>71</v>
      </c>
      <c r="F204" s="7" t="s">
        <v>49</v>
      </c>
      <c r="G204" s="94"/>
      <c r="H204" s="38">
        <f>H205</f>
        <v>1000</v>
      </c>
      <c r="I204" s="49"/>
    </row>
    <row r="205" spans="1:9" ht="39" customHeight="1">
      <c r="A205" s="35" t="s">
        <v>207</v>
      </c>
      <c r="B205" s="43" t="s">
        <v>86</v>
      </c>
      <c r="C205" s="18" t="s">
        <v>192</v>
      </c>
      <c r="D205" s="29" t="s">
        <v>186</v>
      </c>
      <c r="E205" s="18" t="s">
        <v>208</v>
      </c>
      <c r="F205" s="7" t="s">
        <v>72</v>
      </c>
      <c r="G205" s="51"/>
      <c r="H205" s="38">
        <f>H206</f>
        <v>1000</v>
      </c>
      <c r="I205" s="49"/>
    </row>
    <row r="206" spans="1:9" ht="42.75" customHeight="1">
      <c r="A206" s="35" t="s">
        <v>484</v>
      </c>
      <c r="B206" s="43" t="s">
        <v>86</v>
      </c>
      <c r="C206" s="18" t="s">
        <v>192</v>
      </c>
      <c r="D206" s="29" t="s">
        <v>186</v>
      </c>
      <c r="E206" s="18" t="s">
        <v>243</v>
      </c>
      <c r="F206" s="7"/>
      <c r="G206" s="51"/>
      <c r="H206" s="38">
        <f>H207</f>
        <v>1000</v>
      </c>
      <c r="I206" s="49"/>
    </row>
    <row r="207" spans="1:9" ht="15" customHeight="1">
      <c r="A207" s="35" t="s">
        <v>209</v>
      </c>
      <c r="B207" s="43" t="s">
        <v>86</v>
      </c>
      <c r="C207" s="18" t="s">
        <v>192</v>
      </c>
      <c r="D207" s="29" t="s">
        <v>186</v>
      </c>
      <c r="E207" s="18" t="s">
        <v>243</v>
      </c>
      <c r="F207" s="7"/>
      <c r="G207" s="51" t="s">
        <v>67</v>
      </c>
      <c r="H207" s="38">
        <f>20400-6000+15000-10000-18400</f>
        <v>1000</v>
      </c>
      <c r="I207" s="49"/>
    </row>
    <row r="208" spans="1:9" ht="0" customHeight="1" hidden="1">
      <c r="A208" s="271" t="s">
        <v>336</v>
      </c>
      <c r="B208" s="30" t="s">
        <v>86</v>
      </c>
      <c r="C208" s="18" t="s">
        <v>192</v>
      </c>
      <c r="D208" s="29" t="s">
        <v>188</v>
      </c>
      <c r="E208" s="18"/>
      <c r="F208" s="7"/>
      <c r="G208" s="124"/>
      <c r="H208" s="38">
        <f>H209</f>
        <v>0</v>
      </c>
      <c r="I208" s="49"/>
    </row>
    <row r="209" spans="1:9" ht="26.25" hidden="1">
      <c r="A209" s="35" t="s">
        <v>206</v>
      </c>
      <c r="B209" s="43" t="s">
        <v>86</v>
      </c>
      <c r="C209" s="18" t="s">
        <v>192</v>
      </c>
      <c r="D209" s="29" t="s">
        <v>188</v>
      </c>
      <c r="E209" s="18" t="s">
        <v>71</v>
      </c>
      <c r="F209" s="7" t="s">
        <v>49</v>
      </c>
      <c r="G209" s="94"/>
      <c r="H209" s="38">
        <f>H210</f>
        <v>0</v>
      </c>
      <c r="I209" s="49"/>
    </row>
    <row r="210" spans="1:9" ht="39.75" customHeight="1" hidden="1">
      <c r="A210" s="35" t="s">
        <v>207</v>
      </c>
      <c r="B210" s="43" t="s">
        <v>86</v>
      </c>
      <c r="C210" s="18" t="s">
        <v>192</v>
      </c>
      <c r="D210" s="29" t="s">
        <v>188</v>
      </c>
      <c r="E210" s="18" t="s">
        <v>208</v>
      </c>
      <c r="F210" s="7" t="s">
        <v>72</v>
      </c>
      <c r="G210" s="51"/>
      <c r="H210" s="38">
        <f>H211</f>
        <v>0</v>
      </c>
      <c r="I210" s="49"/>
    </row>
    <row r="211" spans="1:9" ht="51.75" hidden="1">
      <c r="A211" s="35" t="s">
        <v>485</v>
      </c>
      <c r="B211" s="43" t="s">
        <v>86</v>
      </c>
      <c r="C211" s="18" t="s">
        <v>192</v>
      </c>
      <c r="D211" s="29" t="s">
        <v>188</v>
      </c>
      <c r="E211" s="18" t="s">
        <v>243</v>
      </c>
      <c r="F211" s="7"/>
      <c r="G211" s="51"/>
      <c r="H211" s="38">
        <f>H212</f>
        <v>0</v>
      </c>
      <c r="I211" s="49"/>
    </row>
    <row r="212" spans="1:9" ht="15.75" hidden="1">
      <c r="A212" s="35" t="s">
        <v>209</v>
      </c>
      <c r="B212" s="43" t="s">
        <v>86</v>
      </c>
      <c r="C212" s="18" t="s">
        <v>192</v>
      </c>
      <c r="D212" s="29" t="s">
        <v>188</v>
      </c>
      <c r="E212" s="18" t="s">
        <v>243</v>
      </c>
      <c r="F212" s="7"/>
      <c r="G212" s="51" t="s">
        <v>67</v>
      </c>
      <c r="H212" s="38">
        <f>5000-4000-1000</f>
        <v>0</v>
      </c>
      <c r="I212" s="49"/>
    </row>
    <row r="213" spans="1:9" ht="15.75">
      <c r="A213" s="8" t="s">
        <v>230</v>
      </c>
      <c r="B213" s="43" t="s">
        <v>86</v>
      </c>
      <c r="C213" s="18" t="s">
        <v>192</v>
      </c>
      <c r="D213" s="30" t="s">
        <v>195</v>
      </c>
      <c r="E213" s="18"/>
      <c r="F213" s="7"/>
      <c r="G213" s="51"/>
      <c r="H213" s="38">
        <f>H214+H218</f>
        <v>50000</v>
      </c>
      <c r="I213" s="49">
        <f aca="true" t="shared" si="9" ref="H213:I216">I214</f>
        <v>0</v>
      </c>
    </row>
    <row r="214" spans="1:9" ht="26.25">
      <c r="A214" s="35" t="s">
        <v>206</v>
      </c>
      <c r="B214" s="43" t="s">
        <v>86</v>
      </c>
      <c r="C214" s="18" t="s">
        <v>192</v>
      </c>
      <c r="D214" s="30" t="s">
        <v>195</v>
      </c>
      <c r="E214" s="18" t="s">
        <v>71</v>
      </c>
      <c r="F214" s="30"/>
      <c r="G214" s="85"/>
      <c r="H214" s="38">
        <f t="shared" si="9"/>
        <v>50000</v>
      </c>
      <c r="I214" s="49">
        <f t="shared" si="9"/>
        <v>0</v>
      </c>
    </row>
    <row r="215" spans="1:9" ht="26.25">
      <c r="A215" s="35" t="s">
        <v>276</v>
      </c>
      <c r="B215" s="43" t="s">
        <v>86</v>
      </c>
      <c r="C215" s="18" t="s">
        <v>192</v>
      </c>
      <c r="D215" s="30" t="s">
        <v>195</v>
      </c>
      <c r="E215" s="18" t="s">
        <v>208</v>
      </c>
      <c r="F215" s="7"/>
      <c r="G215" s="51"/>
      <c r="H215" s="38">
        <f t="shared" si="9"/>
        <v>50000</v>
      </c>
      <c r="I215" s="49">
        <f t="shared" si="9"/>
        <v>0</v>
      </c>
    </row>
    <row r="216" spans="1:9" ht="69" customHeight="1">
      <c r="A216" s="35" t="s">
        <v>300</v>
      </c>
      <c r="B216" s="43" t="s">
        <v>86</v>
      </c>
      <c r="C216" s="18" t="s">
        <v>192</v>
      </c>
      <c r="D216" s="30" t="s">
        <v>195</v>
      </c>
      <c r="E216" s="18" t="s">
        <v>243</v>
      </c>
      <c r="F216" s="7"/>
      <c r="G216" s="51"/>
      <c r="H216" s="38">
        <f t="shared" si="9"/>
        <v>50000</v>
      </c>
      <c r="I216" s="49">
        <f t="shared" si="9"/>
        <v>0</v>
      </c>
    </row>
    <row r="217" spans="1:9" ht="14.25" customHeight="1">
      <c r="A217" s="35" t="s">
        <v>209</v>
      </c>
      <c r="B217" s="43" t="s">
        <v>86</v>
      </c>
      <c r="C217" s="18" t="s">
        <v>192</v>
      </c>
      <c r="D217" s="30" t="s">
        <v>195</v>
      </c>
      <c r="E217" s="18" t="s">
        <v>243</v>
      </c>
      <c r="F217" s="7"/>
      <c r="G217" s="51" t="s">
        <v>67</v>
      </c>
      <c r="H217" s="38">
        <f>50000+50000-50000</f>
        <v>50000</v>
      </c>
      <c r="I217" s="49">
        <f>12000-12000</f>
        <v>0</v>
      </c>
    </row>
    <row r="218" spans="1:9" ht="28.5" customHeight="1" hidden="1">
      <c r="A218" s="109" t="s">
        <v>206</v>
      </c>
      <c r="B218" s="43" t="s">
        <v>86</v>
      </c>
      <c r="C218" s="18" t="s">
        <v>192</v>
      </c>
      <c r="D218" s="30" t="s">
        <v>195</v>
      </c>
      <c r="E218" s="18" t="s">
        <v>71</v>
      </c>
      <c r="F218" s="30"/>
      <c r="G218" s="85"/>
      <c r="H218" s="38">
        <f>H219</f>
        <v>0</v>
      </c>
      <c r="I218" s="49"/>
    </row>
    <row r="219" spans="1:9" ht="41.25" customHeight="1" hidden="1">
      <c r="A219" s="109" t="s">
        <v>207</v>
      </c>
      <c r="B219" s="43" t="s">
        <v>86</v>
      </c>
      <c r="C219" s="18" t="s">
        <v>192</v>
      </c>
      <c r="D219" s="30" t="s">
        <v>195</v>
      </c>
      <c r="E219" s="18" t="s">
        <v>208</v>
      </c>
      <c r="F219" s="7"/>
      <c r="G219" s="51"/>
      <c r="H219" s="38">
        <f>H220</f>
        <v>0</v>
      </c>
      <c r="I219" s="49"/>
    </row>
    <row r="220" spans="1:9" ht="42" customHeight="1" hidden="1">
      <c r="A220" s="109" t="s">
        <v>486</v>
      </c>
      <c r="B220" s="43" t="s">
        <v>86</v>
      </c>
      <c r="C220" s="18" t="s">
        <v>192</v>
      </c>
      <c r="D220" s="30" t="s">
        <v>195</v>
      </c>
      <c r="E220" s="18" t="s">
        <v>243</v>
      </c>
      <c r="F220" s="7"/>
      <c r="G220" s="51"/>
      <c r="H220" s="38">
        <f>H221</f>
        <v>0</v>
      </c>
      <c r="I220" s="49"/>
    </row>
    <row r="221" spans="1:9" ht="15.75" hidden="1">
      <c r="A221" s="35" t="s">
        <v>209</v>
      </c>
      <c r="B221" s="43" t="s">
        <v>86</v>
      </c>
      <c r="C221" s="18" t="s">
        <v>192</v>
      </c>
      <c r="D221" s="30" t="s">
        <v>195</v>
      </c>
      <c r="E221" s="18" t="s">
        <v>243</v>
      </c>
      <c r="F221" s="7"/>
      <c r="G221" s="51" t="s">
        <v>67</v>
      </c>
      <c r="H221" s="38">
        <f>5000-4000-1000</f>
        <v>0</v>
      </c>
      <c r="I221" s="49"/>
    </row>
    <row r="222" spans="1:9" ht="15.75">
      <c r="A222" s="120" t="s">
        <v>5</v>
      </c>
      <c r="B222" s="106" t="s">
        <v>86</v>
      </c>
      <c r="C222" s="103" t="s">
        <v>193</v>
      </c>
      <c r="D222" s="115" t="s">
        <v>126</v>
      </c>
      <c r="E222" s="103"/>
      <c r="F222" s="101"/>
      <c r="G222" s="95"/>
      <c r="H222" s="84">
        <f>H223+H227+H246</f>
        <v>61860.100000000006</v>
      </c>
      <c r="I222" s="97">
        <f>I223+I227+I246</f>
        <v>46732</v>
      </c>
    </row>
    <row r="223" spans="1:9" ht="15.75">
      <c r="A223" s="27" t="s">
        <v>46</v>
      </c>
      <c r="B223" s="42" t="s">
        <v>86</v>
      </c>
      <c r="C223" s="22" t="s">
        <v>193</v>
      </c>
      <c r="D223" s="29" t="s">
        <v>186</v>
      </c>
      <c r="E223" s="22"/>
      <c r="F223" s="29"/>
      <c r="G223" s="94"/>
      <c r="H223" s="37">
        <f aca="true" t="shared" si="10" ref="H223:I225">H224</f>
        <v>750</v>
      </c>
      <c r="I223" s="83">
        <f t="shared" si="10"/>
        <v>0</v>
      </c>
    </row>
    <row r="224" spans="1:9" ht="15.75">
      <c r="A224" s="47" t="s">
        <v>233</v>
      </c>
      <c r="B224" s="43" t="s">
        <v>86</v>
      </c>
      <c r="C224" s="22" t="s">
        <v>193</v>
      </c>
      <c r="D224" s="30" t="s">
        <v>186</v>
      </c>
      <c r="E224" s="18" t="s">
        <v>234</v>
      </c>
      <c r="F224" s="30"/>
      <c r="G224" s="85"/>
      <c r="H224" s="38">
        <f t="shared" si="10"/>
        <v>750</v>
      </c>
      <c r="I224" s="49">
        <f t="shared" si="10"/>
        <v>0</v>
      </c>
    </row>
    <row r="225" spans="1:9" ht="26.25">
      <c r="A225" s="47" t="s">
        <v>114</v>
      </c>
      <c r="B225" s="44" t="s">
        <v>86</v>
      </c>
      <c r="C225" s="22" t="s">
        <v>193</v>
      </c>
      <c r="D225" s="31" t="s">
        <v>186</v>
      </c>
      <c r="E225" s="20" t="s">
        <v>235</v>
      </c>
      <c r="F225" s="31"/>
      <c r="G225" s="58"/>
      <c r="H225" s="36">
        <f t="shared" si="10"/>
        <v>750</v>
      </c>
      <c r="I225" s="60">
        <f t="shared" si="10"/>
        <v>0</v>
      </c>
    </row>
    <row r="226" spans="1:9" ht="15.75">
      <c r="A226" s="47" t="s">
        <v>260</v>
      </c>
      <c r="B226" s="44" t="s">
        <v>86</v>
      </c>
      <c r="C226" s="22" t="s">
        <v>193</v>
      </c>
      <c r="D226" s="31" t="s">
        <v>186</v>
      </c>
      <c r="E226" s="20" t="s">
        <v>235</v>
      </c>
      <c r="F226" s="31"/>
      <c r="G226" s="51" t="s">
        <v>51</v>
      </c>
      <c r="H226" s="36">
        <v>750</v>
      </c>
      <c r="I226" s="53"/>
    </row>
    <row r="227" spans="1:9" ht="15.75">
      <c r="A227" s="25" t="s">
        <v>96</v>
      </c>
      <c r="B227" s="43" t="s">
        <v>86</v>
      </c>
      <c r="C227" s="22" t="s">
        <v>193</v>
      </c>
      <c r="D227" s="30" t="s">
        <v>191</v>
      </c>
      <c r="E227" s="18"/>
      <c r="F227" s="30"/>
      <c r="G227" s="85"/>
      <c r="H227" s="38">
        <f>H235+H241+H228+H231</f>
        <v>57480.100000000006</v>
      </c>
      <c r="I227" s="38">
        <f>I235+I241</f>
        <v>46732</v>
      </c>
    </row>
    <row r="228" spans="1:9" ht="15.75">
      <c r="A228" s="47" t="s">
        <v>393</v>
      </c>
      <c r="B228" s="43" t="s">
        <v>86</v>
      </c>
      <c r="C228" s="22" t="s">
        <v>193</v>
      </c>
      <c r="D228" s="30" t="s">
        <v>191</v>
      </c>
      <c r="E228" s="18" t="s">
        <v>394</v>
      </c>
      <c r="F228" s="30"/>
      <c r="G228" s="85"/>
      <c r="H228" s="38">
        <f>H229</f>
        <v>2072.5</v>
      </c>
      <c r="I228" s="49"/>
    </row>
    <row r="229" spans="1:9" ht="15.75">
      <c r="A229" s="25" t="s">
        <v>395</v>
      </c>
      <c r="B229" s="43" t="s">
        <v>86</v>
      </c>
      <c r="C229" s="22" t="s">
        <v>193</v>
      </c>
      <c r="D229" s="30" t="s">
        <v>191</v>
      </c>
      <c r="E229" s="18" t="s">
        <v>396</v>
      </c>
      <c r="F229" s="30"/>
      <c r="G229" s="85"/>
      <c r="H229" s="38">
        <f>H230</f>
        <v>2072.5</v>
      </c>
      <c r="I229" s="49"/>
    </row>
    <row r="230" spans="1:9" ht="15.75">
      <c r="A230" s="25" t="s">
        <v>453</v>
      </c>
      <c r="B230" s="43" t="s">
        <v>86</v>
      </c>
      <c r="C230" s="22" t="s">
        <v>193</v>
      </c>
      <c r="D230" s="30" t="s">
        <v>191</v>
      </c>
      <c r="E230" s="18" t="s">
        <v>396</v>
      </c>
      <c r="F230" s="30" t="s">
        <v>398</v>
      </c>
      <c r="G230" s="85" t="s">
        <v>51</v>
      </c>
      <c r="H230" s="38">
        <f>2255.6-183.1</f>
        <v>2072.5</v>
      </c>
      <c r="I230" s="49"/>
    </row>
    <row r="231" spans="1:9" ht="15.75">
      <c r="A231" s="25" t="s">
        <v>399</v>
      </c>
      <c r="B231" s="43" t="s">
        <v>86</v>
      </c>
      <c r="C231" s="22" t="s">
        <v>193</v>
      </c>
      <c r="D231" s="30" t="s">
        <v>191</v>
      </c>
      <c r="E231" s="18" t="s">
        <v>400</v>
      </c>
      <c r="F231" s="30"/>
      <c r="G231" s="85"/>
      <c r="H231" s="38">
        <f>H232</f>
        <v>1213.5</v>
      </c>
      <c r="I231" s="49"/>
    </row>
    <row r="232" spans="1:9" ht="15.75">
      <c r="A232" s="25" t="s">
        <v>401</v>
      </c>
      <c r="B232" s="43" t="s">
        <v>86</v>
      </c>
      <c r="C232" s="22" t="s">
        <v>193</v>
      </c>
      <c r="D232" s="30" t="s">
        <v>191</v>
      </c>
      <c r="E232" s="18" t="s">
        <v>402</v>
      </c>
      <c r="F232" s="30"/>
      <c r="G232" s="85"/>
      <c r="H232" s="38">
        <f>H233</f>
        <v>1213.5</v>
      </c>
      <c r="I232" s="49"/>
    </row>
    <row r="233" spans="1:9" ht="15.75">
      <c r="A233" s="25" t="s">
        <v>395</v>
      </c>
      <c r="B233" s="43" t="s">
        <v>86</v>
      </c>
      <c r="C233" s="22" t="s">
        <v>193</v>
      </c>
      <c r="D233" s="30" t="s">
        <v>191</v>
      </c>
      <c r="E233" s="18" t="s">
        <v>403</v>
      </c>
      <c r="F233" s="30"/>
      <c r="G233" s="85"/>
      <c r="H233" s="38">
        <f>H234</f>
        <v>1213.5</v>
      </c>
      <c r="I233" s="49"/>
    </row>
    <row r="234" spans="1:9" ht="15.75">
      <c r="A234" s="25" t="s">
        <v>397</v>
      </c>
      <c r="B234" s="43" t="s">
        <v>86</v>
      </c>
      <c r="C234" s="22" t="s">
        <v>193</v>
      </c>
      <c r="D234" s="30" t="s">
        <v>191</v>
      </c>
      <c r="E234" s="18" t="s">
        <v>403</v>
      </c>
      <c r="F234" s="30" t="s">
        <v>398</v>
      </c>
      <c r="G234" s="85" t="s">
        <v>398</v>
      </c>
      <c r="H234" s="38">
        <v>1213.5</v>
      </c>
      <c r="I234" s="49"/>
    </row>
    <row r="235" spans="1:9" ht="15.75">
      <c r="A235" s="25" t="s">
        <v>236</v>
      </c>
      <c r="B235" s="43" t="s">
        <v>86</v>
      </c>
      <c r="C235" s="22" t="s">
        <v>193</v>
      </c>
      <c r="D235" s="30" t="s">
        <v>191</v>
      </c>
      <c r="E235" s="18" t="s">
        <v>90</v>
      </c>
      <c r="F235" s="30"/>
      <c r="G235" s="85"/>
      <c r="H235" s="38">
        <f>H236+H239</f>
        <v>52486.3</v>
      </c>
      <c r="I235" s="49">
        <f>I236+I239</f>
        <v>46732</v>
      </c>
    </row>
    <row r="236" spans="1:9" ht="15.75">
      <c r="A236" s="25" t="s">
        <v>237</v>
      </c>
      <c r="B236" s="43" t="s">
        <v>86</v>
      </c>
      <c r="C236" s="22" t="s">
        <v>193</v>
      </c>
      <c r="D236" s="30" t="s">
        <v>191</v>
      </c>
      <c r="E236" s="18" t="s">
        <v>238</v>
      </c>
      <c r="F236" s="30" t="s">
        <v>91</v>
      </c>
      <c r="G236" s="57"/>
      <c r="H236" s="38">
        <f>H237</f>
        <v>2450</v>
      </c>
      <c r="I236" s="49">
        <f>I237</f>
        <v>0</v>
      </c>
    </row>
    <row r="237" spans="1:9" ht="26.25">
      <c r="A237" s="109" t="s">
        <v>239</v>
      </c>
      <c r="B237" s="43" t="s">
        <v>86</v>
      </c>
      <c r="C237" s="22" t="s">
        <v>193</v>
      </c>
      <c r="D237" s="30" t="s">
        <v>191</v>
      </c>
      <c r="E237" s="18" t="s">
        <v>240</v>
      </c>
      <c r="F237" s="7"/>
      <c r="G237" s="57"/>
      <c r="H237" s="38">
        <f>H238</f>
        <v>2450</v>
      </c>
      <c r="I237" s="49">
        <f>I238</f>
        <v>0</v>
      </c>
    </row>
    <row r="238" spans="1:9" ht="15.75">
      <c r="A238" s="47" t="s">
        <v>260</v>
      </c>
      <c r="B238" s="43" t="s">
        <v>86</v>
      </c>
      <c r="C238" s="22" t="s">
        <v>193</v>
      </c>
      <c r="D238" s="30" t="s">
        <v>191</v>
      </c>
      <c r="E238" s="18" t="s">
        <v>240</v>
      </c>
      <c r="F238" s="7"/>
      <c r="G238" s="12" t="s">
        <v>51</v>
      </c>
      <c r="H238" s="38">
        <f>2000+50+400</f>
        <v>2450</v>
      </c>
      <c r="I238" s="49"/>
    </row>
    <row r="239" spans="1:9" ht="26.25">
      <c r="A239" s="109" t="s">
        <v>144</v>
      </c>
      <c r="B239" s="43" t="s">
        <v>86</v>
      </c>
      <c r="C239" s="22" t="s">
        <v>193</v>
      </c>
      <c r="D239" s="30" t="s">
        <v>191</v>
      </c>
      <c r="E239" s="18" t="s">
        <v>241</v>
      </c>
      <c r="F239" s="7"/>
      <c r="G239" s="57"/>
      <c r="H239" s="38">
        <f>H240</f>
        <v>50036.3</v>
      </c>
      <c r="I239" s="49">
        <f>I240</f>
        <v>46732</v>
      </c>
    </row>
    <row r="240" spans="1:9" ht="15.75">
      <c r="A240" s="47" t="s">
        <v>168</v>
      </c>
      <c r="B240" s="43" t="s">
        <v>86</v>
      </c>
      <c r="C240" s="22" t="s">
        <v>193</v>
      </c>
      <c r="D240" s="30" t="s">
        <v>191</v>
      </c>
      <c r="E240" s="18" t="s">
        <v>241</v>
      </c>
      <c r="F240" s="7"/>
      <c r="G240" s="12" t="s">
        <v>51</v>
      </c>
      <c r="H240" s="38">
        <f>50018-1869+3304.3-946-471</f>
        <v>50036.3</v>
      </c>
      <c r="I240" s="49">
        <f>50018-1869-946-471</f>
        <v>46732</v>
      </c>
    </row>
    <row r="241" spans="1:9" ht="15.75">
      <c r="A241" s="8" t="s">
        <v>131</v>
      </c>
      <c r="B241" s="43" t="s">
        <v>86</v>
      </c>
      <c r="C241" s="22" t="s">
        <v>193</v>
      </c>
      <c r="D241" s="30" t="s">
        <v>191</v>
      </c>
      <c r="E241" s="18" t="s">
        <v>132</v>
      </c>
      <c r="F241" s="7"/>
      <c r="G241" s="12"/>
      <c r="H241" s="38">
        <f>H242+H244</f>
        <v>1707.8</v>
      </c>
      <c r="I241" s="49">
        <f>I242</f>
        <v>0</v>
      </c>
    </row>
    <row r="242" spans="1:9" ht="26.25">
      <c r="A242" s="109" t="s">
        <v>355</v>
      </c>
      <c r="B242" s="43" t="s">
        <v>86</v>
      </c>
      <c r="C242" s="22" t="s">
        <v>193</v>
      </c>
      <c r="D242" s="30" t="s">
        <v>191</v>
      </c>
      <c r="E242" s="18" t="s">
        <v>248</v>
      </c>
      <c r="F242" s="7"/>
      <c r="G242" s="57"/>
      <c r="H242" s="38">
        <f>H243</f>
        <v>1324</v>
      </c>
      <c r="I242" s="49">
        <f>I243</f>
        <v>0</v>
      </c>
    </row>
    <row r="243" spans="1:9" ht="15.75">
      <c r="A243" s="27" t="s">
        <v>146</v>
      </c>
      <c r="B243" s="43" t="s">
        <v>86</v>
      </c>
      <c r="C243" s="22" t="s">
        <v>193</v>
      </c>
      <c r="D243" s="30" t="s">
        <v>191</v>
      </c>
      <c r="E243" s="18" t="s">
        <v>248</v>
      </c>
      <c r="F243" s="7"/>
      <c r="G243" s="12" t="s">
        <v>278</v>
      </c>
      <c r="H243" s="38">
        <f>1200.1+123.9</f>
        <v>1324</v>
      </c>
      <c r="I243" s="49"/>
    </row>
    <row r="244" spans="1:9" ht="26.25">
      <c r="A244" s="109" t="s">
        <v>356</v>
      </c>
      <c r="B244" s="43" t="s">
        <v>86</v>
      </c>
      <c r="C244" s="22" t="s">
        <v>193</v>
      </c>
      <c r="D244" s="30" t="s">
        <v>191</v>
      </c>
      <c r="E244" s="18" t="s">
        <v>299</v>
      </c>
      <c r="F244" s="7"/>
      <c r="G244" s="57"/>
      <c r="H244" s="38">
        <f>H245</f>
        <v>383.8</v>
      </c>
      <c r="I244" s="49"/>
    </row>
    <row r="245" spans="1:9" ht="15.75">
      <c r="A245" s="27" t="s">
        <v>146</v>
      </c>
      <c r="B245" s="43" t="s">
        <v>86</v>
      </c>
      <c r="C245" s="22" t="s">
        <v>193</v>
      </c>
      <c r="D245" s="30" t="s">
        <v>191</v>
      </c>
      <c r="E245" s="18" t="s">
        <v>299</v>
      </c>
      <c r="F245" s="7"/>
      <c r="G245" s="12" t="s">
        <v>278</v>
      </c>
      <c r="H245" s="38">
        <v>383.8</v>
      </c>
      <c r="I245" s="49"/>
    </row>
    <row r="246" spans="1:9" ht="15.75">
      <c r="A246" s="111" t="s">
        <v>130</v>
      </c>
      <c r="B246" s="43" t="s">
        <v>86</v>
      </c>
      <c r="C246" s="22" t="s">
        <v>193</v>
      </c>
      <c r="D246" s="30" t="s">
        <v>205</v>
      </c>
      <c r="E246" s="18"/>
      <c r="F246" s="7"/>
      <c r="G246" s="12"/>
      <c r="H246" s="38">
        <f aca="true" t="shared" si="11" ref="H246:I248">H247</f>
        <v>3630</v>
      </c>
      <c r="I246" s="49">
        <f t="shared" si="11"/>
        <v>0</v>
      </c>
    </row>
    <row r="247" spans="1:9" ht="15.75">
      <c r="A247" s="8" t="s">
        <v>131</v>
      </c>
      <c r="B247" s="43" t="s">
        <v>86</v>
      </c>
      <c r="C247" s="22" t="s">
        <v>193</v>
      </c>
      <c r="D247" s="30" t="s">
        <v>205</v>
      </c>
      <c r="E247" s="18" t="s">
        <v>132</v>
      </c>
      <c r="F247" s="7" t="s">
        <v>49</v>
      </c>
      <c r="G247" s="12"/>
      <c r="H247" s="38">
        <f t="shared" si="11"/>
        <v>3630</v>
      </c>
      <c r="I247" s="49">
        <f t="shared" si="11"/>
        <v>0</v>
      </c>
    </row>
    <row r="248" spans="1:9" ht="26.25">
      <c r="A248" s="109" t="s">
        <v>246</v>
      </c>
      <c r="B248" s="43" t="s">
        <v>86</v>
      </c>
      <c r="C248" s="22" t="s">
        <v>193</v>
      </c>
      <c r="D248" s="30" t="s">
        <v>205</v>
      </c>
      <c r="E248" s="18" t="s">
        <v>247</v>
      </c>
      <c r="F248" s="7" t="s">
        <v>49</v>
      </c>
      <c r="G248" s="12"/>
      <c r="H248" s="38">
        <f t="shared" si="11"/>
        <v>3630</v>
      </c>
      <c r="I248" s="49">
        <f t="shared" si="11"/>
        <v>0</v>
      </c>
    </row>
    <row r="249" spans="1:9" ht="16.5" thickBot="1">
      <c r="A249" s="27" t="s">
        <v>146</v>
      </c>
      <c r="B249" s="16" t="s">
        <v>86</v>
      </c>
      <c r="C249" s="22" t="s">
        <v>193</v>
      </c>
      <c r="D249" s="10" t="s">
        <v>205</v>
      </c>
      <c r="E249" s="15" t="s">
        <v>247</v>
      </c>
      <c r="F249" s="10" t="s">
        <v>133</v>
      </c>
      <c r="G249" s="12" t="s">
        <v>278</v>
      </c>
      <c r="H249" s="41">
        <f>2630-500+1000+500</f>
        <v>3630</v>
      </c>
      <c r="I249" s="98"/>
    </row>
    <row r="250" spans="1:9" ht="16.5" thickBot="1">
      <c r="A250" s="430" t="s">
        <v>122</v>
      </c>
      <c r="B250" s="244" t="s">
        <v>62</v>
      </c>
      <c r="C250" s="245"/>
      <c r="D250" s="246"/>
      <c r="E250" s="245"/>
      <c r="F250" s="246"/>
      <c r="G250" s="247"/>
      <c r="H250" s="248">
        <f>H261+H305+H256+H251</f>
        <v>670677.3</v>
      </c>
      <c r="I250" s="248">
        <f>I261+I305+I256+I251</f>
        <v>254783</v>
      </c>
    </row>
    <row r="251" spans="1:9" ht="15" customHeight="1">
      <c r="A251" s="317" t="s">
        <v>115</v>
      </c>
      <c r="B251" s="316" t="s">
        <v>62</v>
      </c>
      <c r="C251" s="316" t="s">
        <v>191</v>
      </c>
      <c r="D251" s="316" t="s">
        <v>126</v>
      </c>
      <c r="E251" s="316"/>
      <c r="F251" s="316"/>
      <c r="G251" s="300"/>
      <c r="H251" s="321">
        <f aca="true" t="shared" si="12" ref="H251:I254">H252</f>
        <v>64</v>
      </c>
      <c r="I251" s="40">
        <f t="shared" si="12"/>
        <v>64</v>
      </c>
    </row>
    <row r="252" spans="1:9" ht="26.25">
      <c r="A252" s="277" t="s">
        <v>107</v>
      </c>
      <c r="B252" s="242" t="s">
        <v>62</v>
      </c>
      <c r="C252" s="242" t="s">
        <v>191</v>
      </c>
      <c r="D252" s="242" t="s">
        <v>190</v>
      </c>
      <c r="E252" s="242"/>
      <c r="F252" s="242"/>
      <c r="G252" s="272"/>
      <c r="H252" s="302">
        <f t="shared" si="12"/>
        <v>64</v>
      </c>
      <c r="I252" s="38">
        <f t="shared" si="12"/>
        <v>64</v>
      </c>
    </row>
    <row r="253" spans="1:9" ht="26.25">
      <c r="A253" s="277" t="s">
        <v>108</v>
      </c>
      <c r="B253" s="242" t="s">
        <v>62</v>
      </c>
      <c r="C253" s="242" t="s">
        <v>191</v>
      </c>
      <c r="D253" s="242" t="s">
        <v>190</v>
      </c>
      <c r="E253" s="242" t="s">
        <v>84</v>
      </c>
      <c r="F253" s="242"/>
      <c r="G253" s="272"/>
      <c r="H253" s="302">
        <f t="shared" si="12"/>
        <v>64</v>
      </c>
      <c r="I253" s="38">
        <f t="shared" si="12"/>
        <v>64</v>
      </c>
    </row>
    <row r="254" spans="1:9" ht="15.75">
      <c r="A254" s="318" t="s">
        <v>27</v>
      </c>
      <c r="B254" s="242" t="s">
        <v>62</v>
      </c>
      <c r="C254" s="242" t="s">
        <v>191</v>
      </c>
      <c r="D254" s="242" t="s">
        <v>190</v>
      </c>
      <c r="E254" s="242" t="s">
        <v>174</v>
      </c>
      <c r="F254" s="242"/>
      <c r="G254" s="272"/>
      <c r="H254" s="302">
        <f t="shared" si="12"/>
        <v>64</v>
      </c>
      <c r="I254" s="38">
        <f t="shared" si="12"/>
        <v>64</v>
      </c>
    </row>
    <row r="255" spans="1:9" ht="15.75">
      <c r="A255" s="318" t="s">
        <v>172</v>
      </c>
      <c r="B255" s="242" t="s">
        <v>62</v>
      </c>
      <c r="C255" s="242" t="s">
        <v>191</v>
      </c>
      <c r="D255" s="242" t="s">
        <v>190</v>
      </c>
      <c r="E255" s="242" t="s">
        <v>174</v>
      </c>
      <c r="F255" s="242" t="s">
        <v>86</v>
      </c>
      <c r="G255" s="272" t="s">
        <v>86</v>
      </c>
      <c r="H255" s="302">
        <f>145-145+64</f>
        <v>64</v>
      </c>
      <c r="I255" s="38">
        <f>145-145+64</f>
        <v>64</v>
      </c>
    </row>
    <row r="256" spans="1:9" ht="15.75">
      <c r="A256" s="208" t="s">
        <v>43</v>
      </c>
      <c r="B256" s="205" t="s">
        <v>62</v>
      </c>
      <c r="C256" s="140" t="s">
        <v>205</v>
      </c>
      <c r="D256" s="32" t="s">
        <v>126</v>
      </c>
      <c r="E256" s="17"/>
      <c r="F256" s="32"/>
      <c r="G256" s="300"/>
      <c r="H256" s="301">
        <f>H257</f>
        <v>0</v>
      </c>
      <c r="I256" s="315"/>
    </row>
    <row r="257" spans="1:9" ht="15.75">
      <c r="A257" s="27" t="s">
        <v>44</v>
      </c>
      <c r="B257" s="42" t="s">
        <v>62</v>
      </c>
      <c r="C257" s="22" t="s">
        <v>205</v>
      </c>
      <c r="D257" s="29" t="s">
        <v>200</v>
      </c>
      <c r="E257" s="22"/>
      <c r="F257" s="29"/>
      <c r="G257" s="272"/>
      <c r="H257" s="306">
        <f>H258</f>
        <v>0</v>
      </c>
      <c r="I257" s="304"/>
    </row>
    <row r="258" spans="1:9" ht="15.75">
      <c r="A258" s="8" t="s">
        <v>131</v>
      </c>
      <c r="B258" s="43" t="s">
        <v>62</v>
      </c>
      <c r="C258" s="18" t="s">
        <v>205</v>
      </c>
      <c r="D258" s="30" t="s">
        <v>200</v>
      </c>
      <c r="E258" s="18" t="s">
        <v>132</v>
      </c>
      <c r="F258" s="30"/>
      <c r="G258" s="272"/>
      <c r="H258" s="306">
        <f>H259</f>
        <v>0</v>
      </c>
      <c r="I258" s="304"/>
    </row>
    <row r="259" spans="1:9" ht="26.25">
      <c r="A259" s="109" t="s">
        <v>368</v>
      </c>
      <c r="B259" s="44" t="s">
        <v>62</v>
      </c>
      <c r="C259" s="20" t="s">
        <v>205</v>
      </c>
      <c r="D259" s="31" t="s">
        <v>200</v>
      </c>
      <c r="E259" s="20" t="s">
        <v>262</v>
      </c>
      <c r="F259" s="31"/>
      <c r="G259" s="299"/>
      <c r="H259" s="306">
        <f>H260</f>
        <v>0</v>
      </c>
      <c r="I259" s="304"/>
    </row>
    <row r="260" spans="1:9" ht="15.75">
      <c r="A260" s="27" t="s">
        <v>341</v>
      </c>
      <c r="B260" s="44" t="s">
        <v>62</v>
      </c>
      <c r="C260" s="20" t="s">
        <v>205</v>
      </c>
      <c r="D260" s="31" t="s">
        <v>200</v>
      </c>
      <c r="E260" s="20" t="s">
        <v>262</v>
      </c>
      <c r="F260" s="31"/>
      <c r="G260" s="298" t="s">
        <v>4</v>
      </c>
      <c r="H260" s="306">
        <f>170-170</f>
        <v>0</v>
      </c>
      <c r="I260" s="305"/>
    </row>
    <row r="261" spans="1:9" ht="15.75">
      <c r="A261" s="120" t="s">
        <v>6</v>
      </c>
      <c r="B261" s="106" t="s">
        <v>62</v>
      </c>
      <c r="C261" s="103" t="s">
        <v>194</v>
      </c>
      <c r="D261" s="115" t="s">
        <v>126</v>
      </c>
      <c r="E261" s="103"/>
      <c r="F261" s="115"/>
      <c r="G261" s="255"/>
      <c r="H261" s="267">
        <f>H267+H282+H286+H262</f>
        <v>660712</v>
      </c>
      <c r="I261" s="84">
        <f>I267+I282+I286+I262</f>
        <v>245366.5</v>
      </c>
    </row>
    <row r="262" spans="1:9" ht="15.75">
      <c r="A262" s="114" t="s">
        <v>7</v>
      </c>
      <c r="B262" s="105" t="s">
        <v>62</v>
      </c>
      <c r="C262" s="17" t="s">
        <v>194</v>
      </c>
      <c r="D262" s="32" t="s">
        <v>186</v>
      </c>
      <c r="E262" s="17"/>
      <c r="F262" s="32"/>
      <c r="G262" s="253"/>
      <c r="H262" s="263">
        <f>H263</f>
        <v>259753.1</v>
      </c>
      <c r="I262" s="88">
        <f>I263</f>
        <v>2700</v>
      </c>
    </row>
    <row r="263" spans="1:9" ht="15.75">
      <c r="A263" s="114" t="s">
        <v>7</v>
      </c>
      <c r="B263" s="105" t="s">
        <v>62</v>
      </c>
      <c r="C263" s="17" t="s">
        <v>194</v>
      </c>
      <c r="D263" s="32" t="s">
        <v>186</v>
      </c>
      <c r="E263" s="17"/>
      <c r="F263" s="32"/>
      <c r="G263" s="253"/>
      <c r="H263" s="263">
        <f aca="true" t="shared" si="13" ref="H263:I265">H264</f>
        <v>259753.1</v>
      </c>
      <c r="I263" s="88">
        <f t="shared" si="13"/>
        <v>2700</v>
      </c>
    </row>
    <row r="264" spans="1:9" ht="15.75">
      <c r="A264" s="25" t="s">
        <v>8</v>
      </c>
      <c r="B264" s="43" t="s">
        <v>62</v>
      </c>
      <c r="C264" s="18" t="s">
        <v>194</v>
      </c>
      <c r="D264" s="30" t="s">
        <v>186</v>
      </c>
      <c r="E264" s="18" t="s">
        <v>26</v>
      </c>
      <c r="F264" s="30"/>
      <c r="G264" s="252"/>
      <c r="H264" s="265">
        <f t="shared" si="13"/>
        <v>259753.1</v>
      </c>
      <c r="I264" s="38">
        <f t="shared" si="13"/>
        <v>2700</v>
      </c>
    </row>
    <row r="265" spans="1:9" s="23" customFormat="1" ht="15.75">
      <c r="A265" s="26" t="s">
        <v>27</v>
      </c>
      <c r="B265" s="43" t="s">
        <v>62</v>
      </c>
      <c r="C265" s="18" t="s">
        <v>194</v>
      </c>
      <c r="D265" s="30" t="s">
        <v>186</v>
      </c>
      <c r="E265" s="18" t="s">
        <v>210</v>
      </c>
      <c r="F265" s="30"/>
      <c r="G265" s="256"/>
      <c r="H265" s="265">
        <f t="shared" si="13"/>
        <v>259753.1</v>
      </c>
      <c r="I265" s="38">
        <f t="shared" si="13"/>
        <v>2700</v>
      </c>
    </row>
    <row r="266" spans="1:9" ht="15.75">
      <c r="A266" s="26" t="s">
        <v>172</v>
      </c>
      <c r="B266" s="44" t="s">
        <v>62</v>
      </c>
      <c r="C266" s="20" t="s">
        <v>194</v>
      </c>
      <c r="D266" s="31" t="s">
        <v>186</v>
      </c>
      <c r="E266" s="18" t="s">
        <v>210</v>
      </c>
      <c r="F266" s="30"/>
      <c r="G266" s="251" t="s">
        <v>86</v>
      </c>
      <c r="H266" s="265">
        <f>247399.9+25858.3+38000+2700-3250.5+22226.1+8500+20-38000-38000+145-878.5+4244.9-145-1300-9606.1+5147.4-3308.4</f>
        <v>259753.1</v>
      </c>
      <c r="I266" s="38">
        <f>38000+2700-38000+145-145</f>
        <v>2700</v>
      </c>
    </row>
    <row r="267" spans="1:9" ht="15.75">
      <c r="A267" s="111" t="s">
        <v>9</v>
      </c>
      <c r="B267" s="108" t="s">
        <v>62</v>
      </c>
      <c r="C267" s="104" t="s">
        <v>194</v>
      </c>
      <c r="D267" s="117" t="s">
        <v>187</v>
      </c>
      <c r="E267" s="103"/>
      <c r="F267" s="115"/>
      <c r="G267" s="255"/>
      <c r="H267" s="267">
        <f>H268+H271+H274</f>
        <v>359279.89999999997</v>
      </c>
      <c r="I267" s="84">
        <f>I268+I271+I274</f>
        <v>233022</v>
      </c>
    </row>
    <row r="268" spans="1:9" ht="15.75">
      <c r="A268" s="209" t="s">
        <v>110</v>
      </c>
      <c r="B268" s="44" t="s">
        <v>62</v>
      </c>
      <c r="C268" s="20" t="s">
        <v>194</v>
      </c>
      <c r="D268" s="31" t="s">
        <v>187</v>
      </c>
      <c r="E268" s="20" t="s">
        <v>28</v>
      </c>
      <c r="F268" s="31"/>
      <c r="G268" s="252"/>
      <c r="H268" s="265">
        <f>H270</f>
        <v>306646.1</v>
      </c>
      <c r="I268" s="38">
        <f>I270</f>
        <v>222175</v>
      </c>
    </row>
    <row r="269" spans="1:9" s="23" customFormat="1" ht="15.75">
      <c r="A269" s="26" t="s">
        <v>27</v>
      </c>
      <c r="B269" s="44" t="s">
        <v>62</v>
      </c>
      <c r="C269" s="20" t="s">
        <v>194</v>
      </c>
      <c r="D269" s="31" t="s">
        <v>187</v>
      </c>
      <c r="E269" s="20" t="s">
        <v>211</v>
      </c>
      <c r="F269" s="31"/>
      <c r="G269" s="252"/>
      <c r="H269" s="265">
        <f>H270</f>
        <v>306646.1</v>
      </c>
      <c r="I269" s="38">
        <f>I270</f>
        <v>222175</v>
      </c>
    </row>
    <row r="270" spans="1:9" ht="15.75">
      <c r="A270" s="8" t="s">
        <v>172</v>
      </c>
      <c r="B270" s="43" t="s">
        <v>62</v>
      </c>
      <c r="C270" s="18" t="s">
        <v>194</v>
      </c>
      <c r="D270" s="30" t="s">
        <v>187</v>
      </c>
      <c r="E270" s="18" t="s">
        <v>211</v>
      </c>
      <c r="F270" s="30"/>
      <c r="G270" s="252" t="s">
        <v>86</v>
      </c>
      <c r="H270" s="265">
        <f>27620.2+16768.7+7802+284369+3670+14115+2791+17900+250-5000-48701+7-9939+1636-11.4+5831.2+26.4+40+2366.9+6.8-7950+1396.8+3341.8+6722.5-22152.2+40.6+3697.8</f>
        <v>306646.1</v>
      </c>
      <c r="I270" s="38">
        <f>7802+284369+3670-48701+7-9939-15033</f>
        <v>222175</v>
      </c>
    </row>
    <row r="271" spans="1:9" ht="15.75">
      <c r="A271" s="33" t="s">
        <v>31</v>
      </c>
      <c r="B271" s="16" t="s">
        <v>62</v>
      </c>
      <c r="C271" s="18" t="s">
        <v>194</v>
      </c>
      <c r="D271" s="30" t="s">
        <v>187</v>
      </c>
      <c r="E271" s="15" t="s">
        <v>32</v>
      </c>
      <c r="F271" s="10"/>
      <c r="G271" s="252"/>
      <c r="H271" s="265">
        <f>H272</f>
        <v>41786.8</v>
      </c>
      <c r="I271" s="38">
        <f>I272</f>
        <v>0</v>
      </c>
    </row>
    <row r="272" spans="1:9" ht="15.75">
      <c r="A272" s="26" t="s">
        <v>27</v>
      </c>
      <c r="B272" s="44" t="s">
        <v>62</v>
      </c>
      <c r="C272" s="18" t="s">
        <v>194</v>
      </c>
      <c r="D272" s="30" t="s">
        <v>187</v>
      </c>
      <c r="E272" s="20" t="s">
        <v>212</v>
      </c>
      <c r="F272" s="10"/>
      <c r="G272" s="256"/>
      <c r="H272" s="265">
        <f>H273</f>
        <v>41786.8</v>
      </c>
      <c r="I272" s="38">
        <f>I273</f>
        <v>0</v>
      </c>
    </row>
    <row r="273" spans="1:9" ht="15.75">
      <c r="A273" s="8" t="s">
        <v>172</v>
      </c>
      <c r="B273" s="44" t="s">
        <v>62</v>
      </c>
      <c r="C273" s="18" t="s">
        <v>194</v>
      </c>
      <c r="D273" s="30" t="s">
        <v>187</v>
      </c>
      <c r="E273" s="20" t="s">
        <v>212</v>
      </c>
      <c r="F273" s="10"/>
      <c r="G273" s="252" t="s">
        <v>86</v>
      </c>
      <c r="H273" s="265">
        <f>40112.6+486+1600+49.4-750+1498.5+250.3-1460</f>
        <v>41786.8</v>
      </c>
      <c r="I273" s="38"/>
    </row>
    <row r="274" spans="1:9" ht="15.75">
      <c r="A274" s="26" t="s">
        <v>125</v>
      </c>
      <c r="B274" s="44" t="s">
        <v>62</v>
      </c>
      <c r="C274" s="18" t="s">
        <v>194</v>
      </c>
      <c r="D274" s="30" t="s">
        <v>187</v>
      </c>
      <c r="E274" s="20" t="s">
        <v>95</v>
      </c>
      <c r="F274" s="10"/>
      <c r="G274" s="252"/>
      <c r="H274" s="265">
        <f>H275+H277</f>
        <v>10847</v>
      </c>
      <c r="I274" s="38">
        <f>I275+I277</f>
        <v>10847</v>
      </c>
    </row>
    <row r="275" spans="1:9" ht="15.75">
      <c r="A275" s="26" t="s">
        <v>97</v>
      </c>
      <c r="B275" s="44" t="s">
        <v>62</v>
      </c>
      <c r="C275" s="18" t="s">
        <v>194</v>
      </c>
      <c r="D275" s="30" t="s">
        <v>187</v>
      </c>
      <c r="E275" s="20" t="s">
        <v>213</v>
      </c>
      <c r="F275" s="10"/>
      <c r="G275" s="256"/>
      <c r="H275" s="265">
        <f>H276</f>
        <v>3712</v>
      </c>
      <c r="I275" s="38">
        <f>I276</f>
        <v>3712</v>
      </c>
    </row>
    <row r="276" spans="1:9" ht="15.75">
      <c r="A276" s="8" t="s">
        <v>172</v>
      </c>
      <c r="B276" s="44" t="s">
        <v>62</v>
      </c>
      <c r="C276" s="18" t="s">
        <v>194</v>
      </c>
      <c r="D276" s="31" t="s">
        <v>187</v>
      </c>
      <c r="E276" s="20" t="s">
        <v>213</v>
      </c>
      <c r="F276" s="10"/>
      <c r="G276" s="252" t="s">
        <v>86</v>
      </c>
      <c r="H276" s="265">
        <f>3781-69</f>
        <v>3712</v>
      </c>
      <c r="I276" s="38">
        <f>3781-69</f>
        <v>3712</v>
      </c>
    </row>
    <row r="277" spans="1:9" ht="26.25">
      <c r="A277" s="145" t="s">
        <v>450</v>
      </c>
      <c r="B277" s="44" t="s">
        <v>62</v>
      </c>
      <c r="C277" s="18" t="s">
        <v>194</v>
      </c>
      <c r="D277" s="31" t="s">
        <v>187</v>
      </c>
      <c r="E277" s="20" t="s">
        <v>411</v>
      </c>
      <c r="F277" s="10"/>
      <c r="G277" s="252"/>
      <c r="H277" s="265">
        <f>H281+H278</f>
        <v>7135</v>
      </c>
      <c r="I277" s="38">
        <f>I281+I278</f>
        <v>7135</v>
      </c>
    </row>
    <row r="278" spans="1:9" ht="26.25">
      <c r="A278" s="145" t="s">
        <v>451</v>
      </c>
      <c r="B278" s="44" t="s">
        <v>62</v>
      </c>
      <c r="C278" s="18" t="s">
        <v>194</v>
      </c>
      <c r="D278" s="31" t="s">
        <v>187</v>
      </c>
      <c r="E278" s="20" t="s">
        <v>449</v>
      </c>
      <c r="F278" s="10"/>
      <c r="G278" s="252"/>
      <c r="H278" s="265">
        <f>H279</f>
        <v>4170</v>
      </c>
      <c r="I278" s="38">
        <f>I279</f>
        <v>4170</v>
      </c>
    </row>
    <row r="279" spans="1:9" ht="15.75">
      <c r="A279" s="90" t="s">
        <v>172</v>
      </c>
      <c r="B279" s="44" t="s">
        <v>62</v>
      </c>
      <c r="C279" s="18" t="s">
        <v>194</v>
      </c>
      <c r="D279" s="31" t="s">
        <v>187</v>
      </c>
      <c r="E279" s="20" t="s">
        <v>449</v>
      </c>
      <c r="F279" s="10"/>
      <c r="G279" s="252" t="s">
        <v>86</v>
      </c>
      <c r="H279" s="265">
        <v>4170</v>
      </c>
      <c r="I279" s="38">
        <v>4170</v>
      </c>
    </row>
    <row r="280" spans="1:9" ht="26.25">
      <c r="A280" s="145" t="s">
        <v>454</v>
      </c>
      <c r="B280" s="44" t="s">
        <v>62</v>
      </c>
      <c r="C280" s="18" t="s">
        <v>194</v>
      </c>
      <c r="D280" s="31" t="s">
        <v>187</v>
      </c>
      <c r="E280" s="20" t="s">
        <v>455</v>
      </c>
      <c r="F280" s="10"/>
      <c r="G280" s="252"/>
      <c r="H280" s="265">
        <f>H281</f>
        <v>2965</v>
      </c>
      <c r="I280" s="38">
        <f>I281</f>
        <v>2965</v>
      </c>
    </row>
    <row r="281" spans="1:9" ht="15.75">
      <c r="A281" s="90" t="s">
        <v>172</v>
      </c>
      <c r="B281" s="44" t="s">
        <v>62</v>
      </c>
      <c r="C281" s="18" t="s">
        <v>194</v>
      </c>
      <c r="D281" s="31" t="s">
        <v>187</v>
      </c>
      <c r="E281" s="20" t="s">
        <v>455</v>
      </c>
      <c r="F281" s="10" t="s">
        <v>86</v>
      </c>
      <c r="G281" s="252" t="s">
        <v>86</v>
      </c>
      <c r="H281" s="265">
        <f>6.8-6.8+2965</f>
        <v>2965</v>
      </c>
      <c r="I281" s="38">
        <v>2965</v>
      </c>
    </row>
    <row r="282" spans="1:9" ht="15.75">
      <c r="A282" s="116" t="s">
        <v>29</v>
      </c>
      <c r="B282" s="108" t="s">
        <v>62</v>
      </c>
      <c r="C282" s="103" t="s">
        <v>194</v>
      </c>
      <c r="D282" s="117" t="s">
        <v>194</v>
      </c>
      <c r="E282" s="103"/>
      <c r="F282" s="115"/>
      <c r="G282" s="255"/>
      <c r="H282" s="267">
        <f aca="true" t="shared" si="14" ref="H282:I284">H283</f>
        <v>2903.7</v>
      </c>
      <c r="I282" s="84">
        <f t="shared" si="14"/>
        <v>0</v>
      </c>
    </row>
    <row r="283" spans="1:9" ht="15.75">
      <c r="A283" s="47" t="s">
        <v>215</v>
      </c>
      <c r="B283" s="44" t="s">
        <v>62</v>
      </c>
      <c r="C283" s="18" t="s">
        <v>194</v>
      </c>
      <c r="D283" s="31" t="s">
        <v>194</v>
      </c>
      <c r="E283" s="20" t="s">
        <v>30</v>
      </c>
      <c r="F283" s="10"/>
      <c r="G283" s="252"/>
      <c r="H283" s="265">
        <f t="shared" si="14"/>
        <v>2903.7</v>
      </c>
      <c r="I283" s="38">
        <f t="shared" si="14"/>
        <v>0</v>
      </c>
    </row>
    <row r="284" spans="1:9" ht="15.75">
      <c r="A284" s="25" t="s">
        <v>216</v>
      </c>
      <c r="B284" s="44" t="s">
        <v>62</v>
      </c>
      <c r="C284" s="18" t="s">
        <v>194</v>
      </c>
      <c r="D284" s="31" t="s">
        <v>194</v>
      </c>
      <c r="E284" s="20" t="s">
        <v>217</v>
      </c>
      <c r="F284" s="10"/>
      <c r="G284" s="256"/>
      <c r="H284" s="265">
        <f t="shared" si="14"/>
        <v>2903.7</v>
      </c>
      <c r="I284" s="38">
        <f t="shared" si="14"/>
        <v>0</v>
      </c>
    </row>
    <row r="285" spans="1:9" ht="15.75">
      <c r="A285" s="26" t="s">
        <v>172</v>
      </c>
      <c r="B285" s="44" t="s">
        <v>62</v>
      </c>
      <c r="C285" s="18" t="s">
        <v>194</v>
      </c>
      <c r="D285" s="31" t="s">
        <v>194</v>
      </c>
      <c r="E285" s="20" t="s">
        <v>217</v>
      </c>
      <c r="F285" s="10"/>
      <c r="G285" s="252" t="s">
        <v>86</v>
      </c>
      <c r="H285" s="265">
        <f>2002.3+11.4+890</f>
        <v>2903.7</v>
      </c>
      <c r="I285" s="38"/>
    </row>
    <row r="286" spans="1:9" ht="15.75">
      <c r="A286" s="120" t="s">
        <v>33</v>
      </c>
      <c r="B286" s="106" t="s">
        <v>62</v>
      </c>
      <c r="C286" s="103" t="s">
        <v>194</v>
      </c>
      <c r="D286" s="115" t="s">
        <v>192</v>
      </c>
      <c r="E286" s="103"/>
      <c r="F286" s="115"/>
      <c r="G286" s="255"/>
      <c r="H286" s="267">
        <f>H299+H287+H302+H290</f>
        <v>38775.3</v>
      </c>
      <c r="I286" s="84">
        <f>I299+I287+I302+I290</f>
        <v>9644.5</v>
      </c>
    </row>
    <row r="287" spans="1:9" s="23" customFormat="1" ht="15.75">
      <c r="A287" s="47" t="s">
        <v>147</v>
      </c>
      <c r="B287" s="43" t="s">
        <v>62</v>
      </c>
      <c r="C287" s="18" t="s">
        <v>194</v>
      </c>
      <c r="D287" s="30" t="s">
        <v>192</v>
      </c>
      <c r="E287" s="18" t="s">
        <v>277</v>
      </c>
      <c r="F287" s="30"/>
      <c r="G287" s="252"/>
      <c r="H287" s="265">
        <f>H288</f>
        <v>9267.5</v>
      </c>
      <c r="I287" s="38">
        <f>I288</f>
        <v>0</v>
      </c>
    </row>
    <row r="288" spans="1:9" ht="15.75">
      <c r="A288" s="27" t="s">
        <v>50</v>
      </c>
      <c r="B288" s="43" t="s">
        <v>62</v>
      </c>
      <c r="C288" s="18" t="s">
        <v>194</v>
      </c>
      <c r="D288" s="30" t="s">
        <v>192</v>
      </c>
      <c r="E288" s="18" t="s">
        <v>279</v>
      </c>
      <c r="F288" s="30"/>
      <c r="G288" s="252"/>
      <c r="H288" s="265">
        <f>H289</f>
        <v>9267.5</v>
      </c>
      <c r="I288" s="38">
        <f>I289</f>
        <v>0</v>
      </c>
    </row>
    <row r="289" spans="1:9" ht="15.75">
      <c r="A289" s="27" t="s">
        <v>259</v>
      </c>
      <c r="B289" s="43" t="s">
        <v>62</v>
      </c>
      <c r="C289" s="18" t="s">
        <v>194</v>
      </c>
      <c r="D289" s="30" t="s">
        <v>192</v>
      </c>
      <c r="E289" s="18" t="s">
        <v>279</v>
      </c>
      <c r="F289" s="30"/>
      <c r="G289" s="252" t="s">
        <v>278</v>
      </c>
      <c r="H289" s="265">
        <f>13718.1-935.6-740.6+77.8-2852.2</f>
        <v>9267.5</v>
      </c>
      <c r="I289" s="38"/>
    </row>
    <row r="290" spans="1:9" ht="15.75">
      <c r="A290" s="90" t="s">
        <v>270</v>
      </c>
      <c r="B290" s="44" t="s">
        <v>62</v>
      </c>
      <c r="C290" s="18" t="s">
        <v>194</v>
      </c>
      <c r="D290" s="30" t="s">
        <v>192</v>
      </c>
      <c r="E290" s="20" t="s">
        <v>271</v>
      </c>
      <c r="F290" s="10"/>
      <c r="G290" s="252"/>
      <c r="H290" s="265">
        <f>H291+H293+H295+H297</f>
        <v>8931</v>
      </c>
      <c r="I290" s="38">
        <f>I291+I293+I295+I297</f>
        <v>8931</v>
      </c>
    </row>
    <row r="291" spans="1:9" s="23" customFormat="1" ht="15.75">
      <c r="A291" s="90" t="s">
        <v>273</v>
      </c>
      <c r="B291" s="44" t="s">
        <v>62</v>
      </c>
      <c r="C291" s="18" t="s">
        <v>194</v>
      </c>
      <c r="D291" s="30" t="s">
        <v>192</v>
      </c>
      <c r="E291" s="20" t="s">
        <v>272</v>
      </c>
      <c r="F291" s="10"/>
      <c r="G291" s="252"/>
      <c r="H291" s="265">
        <f>H292</f>
        <v>8584</v>
      </c>
      <c r="I291" s="38">
        <f>I292</f>
        <v>8584</v>
      </c>
    </row>
    <row r="292" spans="1:9" ht="15.75">
      <c r="A292" s="90" t="s">
        <v>274</v>
      </c>
      <c r="B292" s="44" t="s">
        <v>62</v>
      </c>
      <c r="C292" s="18" t="s">
        <v>194</v>
      </c>
      <c r="D292" s="30" t="s">
        <v>192</v>
      </c>
      <c r="E292" s="20" t="s">
        <v>272</v>
      </c>
      <c r="F292" s="10"/>
      <c r="G292" s="252" t="s">
        <v>275</v>
      </c>
      <c r="H292" s="265">
        <f>12783-2940-531-728</f>
        <v>8584</v>
      </c>
      <c r="I292" s="38">
        <f>12783-2940-531-728</f>
        <v>8584</v>
      </c>
    </row>
    <row r="293" spans="1:9" ht="15.75">
      <c r="A293" s="90" t="s">
        <v>404</v>
      </c>
      <c r="B293" s="44" t="s">
        <v>62</v>
      </c>
      <c r="C293" s="18" t="s">
        <v>194</v>
      </c>
      <c r="D293" s="30" t="s">
        <v>192</v>
      </c>
      <c r="E293" s="20" t="s">
        <v>405</v>
      </c>
      <c r="F293" s="10"/>
      <c r="G293" s="252"/>
      <c r="H293" s="265">
        <f>H294</f>
        <v>0</v>
      </c>
      <c r="I293" s="38"/>
    </row>
    <row r="294" spans="1:9" ht="15.75">
      <c r="A294" s="90" t="s">
        <v>172</v>
      </c>
      <c r="B294" s="44" t="s">
        <v>62</v>
      </c>
      <c r="C294" s="18" t="s">
        <v>194</v>
      </c>
      <c r="D294" s="30" t="s">
        <v>192</v>
      </c>
      <c r="E294" s="20" t="s">
        <v>406</v>
      </c>
      <c r="F294" s="10" t="s">
        <v>86</v>
      </c>
      <c r="G294" s="252" t="s">
        <v>86</v>
      </c>
      <c r="H294" s="265">
        <f>26.4-26.4</f>
        <v>0</v>
      </c>
      <c r="I294" s="38">
        <f>26.4-26.4</f>
        <v>0</v>
      </c>
    </row>
    <row r="295" spans="1:9" ht="15.75">
      <c r="A295" s="90" t="s">
        <v>407</v>
      </c>
      <c r="B295" s="44" t="s">
        <v>62</v>
      </c>
      <c r="C295" s="18" t="s">
        <v>194</v>
      </c>
      <c r="D295" s="30" t="s">
        <v>192</v>
      </c>
      <c r="E295" s="20" t="s">
        <v>408</v>
      </c>
      <c r="F295" s="10"/>
      <c r="G295" s="252"/>
      <c r="H295" s="265">
        <f>H296</f>
        <v>347</v>
      </c>
      <c r="I295" s="38">
        <f>I296</f>
        <v>347</v>
      </c>
    </row>
    <row r="296" spans="1:9" ht="15.75">
      <c r="A296" s="90" t="s">
        <v>172</v>
      </c>
      <c r="B296" s="44" t="s">
        <v>62</v>
      </c>
      <c r="C296" s="18" t="s">
        <v>194</v>
      </c>
      <c r="D296" s="30" t="s">
        <v>192</v>
      </c>
      <c r="E296" s="20" t="s">
        <v>408</v>
      </c>
      <c r="F296" s="10" t="s">
        <v>86</v>
      </c>
      <c r="G296" s="252" t="s">
        <v>86</v>
      </c>
      <c r="H296" s="265">
        <f>40-40+347</f>
        <v>347</v>
      </c>
      <c r="I296" s="38">
        <v>347</v>
      </c>
    </row>
    <row r="297" spans="1:9" ht="20.25" customHeight="1">
      <c r="A297" s="145" t="s">
        <v>409</v>
      </c>
      <c r="B297" s="44" t="s">
        <v>62</v>
      </c>
      <c r="C297" s="18" t="s">
        <v>194</v>
      </c>
      <c r="D297" s="30" t="s">
        <v>192</v>
      </c>
      <c r="E297" s="20" t="s">
        <v>410</v>
      </c>
      <c r="F297" s="10"/>
      <c r="G297" s="252"/>
      <c r="H297" s="265">
        <f>H298</f>
        <v>0</v>
      </c>
      <c r="I297" s="38"/>
    </row>
    <row r="298" spans="1:9" ht="15.75">
      <c r="A298" s="90" t="s">
        <v>172</v>
      </c>
      <c r="B298" s="44" t="s">
        <v>62</v>
      </c>
      <c r="C298" s="18" t="s">
        <v>194</v>
      </c>
      <c r="D298" s="30" t="s">
        <v>192</v>
      </c>
      <c r="E298" s="20" t="s">
        <v>410</v>
      </c>
      <c r="F298" s="10" t="s">
        <v>86</v>
      </c>
      <c r="G298" s="252" t="s">
        <v>86</v>
      </c>
      <c r="H298" s="265">
        <f>2366.9-2366.9</f>
        <v>0</v>
      </c>
      <c r="I298" s="38"/>
    </row>
    <row r="299" spans="1:9" ht="42" customHeight="1">
      <c r="A299" s="46" t="s">
        <v>111</v>
      </c>
      <c r="B299" s="43" t="s">
        <v>62</v>
      </c>
      <c r="C299" s="18" t="s">
        <v>194</v>
      </c>
      <c r="D299" s="30" t="s">
        <v>192</v>
      </c>
      <c r="E299" s="18" t="s">
        <v>40</v>
      </c>
      <c r="F299" s="30"/>
      <c r="G299" s="252"/>
      <c r="H299" s="265">
        <f>H300</f>
        <v>10247.400000000001</v>
      </c>
      <c r="I299" s="38">
        <f>I300</f>
        <v>713.5</v>
      </c>
    </row>
    <row r="300" spans="1:9" ht="15.75">
      <c r="A300" s="25" t="s">
        <v>27</v>
      </c>
      <c r="B300" s="44" t="s">
        <v>62</v>
      </c>
      <c r="C300" s="18" t="s">
        <v>194</v>
      </c>
      <c r="D300" s="30" t="s">
        <v>192</v>
      </c>
      <c r="E300" s="20" t="s">
        <v>218</v>
      </c>
      <c r="F300" s="31"/>
      <c r="G300" s="254"/>
      <c r="H300" s="266">
        <f>H301</f>
        <v>10247.400000000001</v>
      </c>
      <c r="I300" s="36">
        <f>I301</f>
        <v>713.5</v>
      </c>
    </row>
    <row r="301" spans="1:9" ht="15.75">
      <c r="A301" s="26" t="s">
        <v>172</v>
      </c>
      <c r="B301" s="44" t="s">
        <v>62</v>
      </c>
      <c r="C301" s="18" t="s">
        <v>194</v>
      </c>
      <c r="D301" s="30" t="s">
        <v>192</v>
      </c>
      <c r="E301" s="20" t="s">
        <v>218</v>
      </c>
      <c r="F301" s="31"/>
      <c r="G301" s="252" t="s">
        <v>86</v>
      </c>
      <c r="H301" s="266">
        <f>11918.1+749+424-35.5-1743.4+11.6-1076.4</f>
        <v>10247.400000000001</v>
      </c>
      <c r="I301" s="36">
        <f>749-35.5</f>
        <v>713.5</v>
      </c>
    </row>
    <row r="302" spans="1:9" ht="15" customHeight="1">
      <c r="A302" s="25" t="s">
        <v>131</v>
      </c>
      <c r="B302" s="44" t="s">
        <v>62</v>
      </c>
      <c r="C302" s="18" t="s">
        <v>194</v>
      </c>
      <c r="D302" s="30" t="s">
        <v>192</v>
      </c>
      <c r="E302" s="20" t="s">
        <v>132</v>
      </c>
      <c r="F302" s="31"/>
      <c r="G302" s="252"/>
      <c r="H302" s="266">
        <f>H303</f>
        <v>10329.4</v>
      </c>
      <c r="I302" s="36">
        <f>I303</f>
        <v>0</v>
      </c>
    </row>
    <row r="303" spans="1:9" ht="26.25">
      <c r="A303" s="109" t="s">
        <v>219</v>
      </c>
      <c r="B303" s="44" t="s">
        <v>62</v>
      </c>
      <c r="C303" s="18" t="s">
        <v>194</v>
      </c>
      <c r="D303" s="30" t="s">
        <v>192</v>
      </c>
      <c r="E303" s="20" t="s">
        <v>220</v>
      </c>
      <c r="F303" s="31"/>
      <c r="G303" s="252"/>
      <c r="H303" s="266">
        <f>H304</f>
        <v>10329.4</v>
      </c>
      <c r="I303" s="36">
        <f>I304</f>
        <v>0</v>
      </c>
    </row>
    <row r="304" spans="1:9" ht="16.5" customHeight="1">
      <c r="A304" s="27" t="s">
        <v>259</v>
      </c>
      <c r="B304" s="44" t="s">
        <v>62</v>
      </c>
      <c r="C304" s="18" t="s">
        <v>194</v>
      </c>
      <c r="D304" s="30" t="s">
        <v>192</v>
      </c>
      <c r="E304" s="20" t="s">
        <v>220</v>
      </c>
      <c r="F304" s="31"/>
      <c r="G304" s="252" t="s">
        <v>278</v>
      </c>
      <c r="H304" s="266">
        <f>3250.5+11000-2000+878.5-3000+200.4</f>
        <v>10329.4</v>
      </c>
      <c r="I304" s="268"/>
    </row>
    <row r="305" spans="1:9" ht="15.75">
      <c r="A305" s="120" t="s">
        <v>5</v>
      </c>
      <c r="B305" s="106" t="s">
        <v>62</v>
      </c>
      <c r="C305" s="103" t="s">
        <v>193</v>
      </c>
      <c r="D305" s="115" t="s">
        <v>126</v>
      </c>
      <c r="E305" s="103"/>
      <c r="F305" s="115"/>
      <c r="G305" s="255"/>
      <c r="H305" s="267">
        <f aca="true" t="shared" si="15" ref="H305:I308">H306</f>
        <v>9901.3</v>
      </c>
      <c r="I305" s="84">
        <f t="shared" si="15"/>
        <v>9352.5</v>
      </c>
    </row>
    <row r="306" spans="1:9" ht="15.75">
      <c r="A306" s="271" t="s">
        <v>327</v>
      </c>
      <c r="B306" s="242" t="s">
        <v>62</v>
      </c>
      <c r="C306" s="242" t="s">
        <v>193</v>
      </c>
      <c r="D306" s="242" t="s">
        <v>188</v>
      </c>
      <c r="E306" s="242"/>
      <c r="F306" s="242"/>
      <c r="G306" s="272"/>
      <c r="H306" s="302">
        <f t="shared" si="15"/>
        <v>9901.3</v>
      </c>
      <c r="I306" s="38">
        <f t="shared" si="15"/>
        <v>9352.5</v>
      </c>
    </row>
    <row r="307" spans="1:9" ht="15.75">
      <c r="A307" s="27" t="s">
        <v>125</v>
      </c>
      <c r="B307" s="242" t="s">
        <v>62</v>
      </c>
      <c r="C307" s="242" t="s">
        <v>193</v>
      </c>
      <c r="D307" s="242" t="s">
        <v>188</v>
      </c>
      <c r="E307" s="242" t="s">
        <v>95</v>
      </c>
      <c r="F307" s="242"/>
      <c r="G307" s="272"/>
      <c r="H307" s="302">
        <f t="shared" si="15"/>
        <v>9901.3</v>
      </c>
      <c r="I307" s="38">
        <f t="shared" si="15"/>
        <v>9352.5</v>
      </c>
    </row>
    <row r="308" spans="1:9" ht="51.75">
      <c r="A308" s="35" t="s">
        <v>282</v>
      </c>
      <c r="B308" s="242" t="s">
        <v>62</v>
      </c>
      <c r="C308" s="242" t="s">
        <v>193</v>
      </c>
      <c r="D308" s="242" t="s">
        <v>188</v>
      </c>
      <c r="E308" s="242" t="s">
        <v>281</v>
      </c>
      <c r="F308" s="242"/>
      <c r="G308" s="272"/>
      <c r="H308" s="302">
        <f t="shared" si="15"/>
        <v>9901.3</v>
      </c>
      <c r="I308" s="38">
        <f t="shared" si="15"/>
        <v>9352.5</v>
      </c>
    </row>
    <row r="309" spans="1:9" s="122" customFormat="1" ht="16.5" thickBot="1">
      <c r="A309" s="274" t="s">
        <v>168</v>
      </c>
      <c r="B309" s="275" t="s">
        <v>62</v>
      </c>
      <c r="C309" s="275" t="s">
        <v>193</v>
      </c>
      <c r="D309" s="275" t="s">
        <v>188</v>
      </c>
      <c r="E309" s="275" t="s">
        <v>281</v>
      </c>
      <c r="F309" s="275"/>
      <c r="G309" s="276" t="s">
        <v>51</v>
      </c>
      <c r="H309" s="303">
        <f>7108+548.8+763+35.5+1446</f>
        <v>9901.3</v>
      </c>
      <c r="I309" s="270">
        <f>7108+763+35.5+1446</f>
        <v>9352.5</v>
      </c>
    </row>
    <row r="310" spans="1:9" s="122" customFormat="1" ht="16.5" thickBot="1">
      <c r="A310" s="429" t="s">
        <v>68</v>
      </c>
      <c r="B310" s="28" t="s">
        <v>67</v>
      </c>
      <c r="C310" s="21"/>
      <c r="D310" s="13"/>
      <c r="E310" s="21"/>
      <c r="F310" s="13"/>
      <c r="G310" s="55"/>
      <c r="H310" s="322">
        <f>H316+H321+H311</f>
        <v>110029.7</v>
      </c>
      <c r="I310" s="39">
        <f>I316+I321</f>
        <v>3452</v>
      </c>
    </row>
    <row r="311" spans="1:9" s="122" customFormat="1" ht="15.75">
      <c r="A311" s="208" t="s">
        <v>43</v>
      </c>
      <c r="B311" s="205" t="s">
        <v>67</v>
      </c>
      <c r="C311" s="140" t="s">
        <v>205</v>
      </c>
      <c r="D311" s="32" t="s">
        <v>126</v>
      </c>
      <c r="E311" s="17"/>
      <c r="F311" s="32"/>
      <c r="G311" s="250"/>
      <c r="H311" s="307">
        <f>H312</f>
        <v>0</v>
      </c>
      <c r="I311" s="310"/>
    </row>
    <row r="312" spans="1:9" s="122" customFormat="1" ht="15.75">
      <c r="A312" s="27" t="s">
        <v>44</v>
      </c>
      <c r="B312" s="42" t="s">
        <v>67</v>
      </c>
      <c r="C312" s="22" t="s">
        <v>205</v>
      </c>
      <c r="D312" s="29" t="s">
        <v>200</v>
      </c>
      <c r="E312" s="22"/>
      <c r="F312" s="29"/>
      <c r="G312" s="252"/>
      <c r="H312" s="308">
        <f>H313</f>
        <v>0</v>
      </c>
      <c r="I312" s="84"/>
    </row>
    <row r="313" spans="1:9" s="122" customFormat="1" ht="15.75">
      <c r="A313" s="8" t="s">
        <v>131</v>
      </c>
      <c r="B313" s="43" t="s">
        <v>67</v>
      </c>
      <c r="C313" s="18" t="s">
        <v>205</v>
      </c>
      <c r="D313" s="30" t="s">
        <v>200</v>
      </c>
      <c r="E313" s="18" t="s">
        <v>132</v>
      </c>
      <c r="F313" s="30"/>
      <c r="G313" s="252"/>
      <c r="H313" s="308">
        <f>H314</f>
        <v>0</v>
      </c>
      <c r="I313" s="84"/>
    </row>
    <row r="314" spans="1:9" s="122" customFormat="1" ht="26.25">
      <c r="A314" s="109" t="s">
        <v>368</v>
      </c>
      <c r="B314" s="44" t="s">
        <v>67</v>
      </c>
      <c r="C314" s="20" t="s">
        <v>205</v>
      </c>
      <c r="D314" s="31" t="s">
        <v>200</v>
      </c>
      <c r="E314" s="20" t="s">
        <v>262</v>
      </c>
      <c r="F314" s="31"/>
      <c r="G314" s="256"/>
      <c r="H314" s="308">
        <f>H315</f>
        <v>0</v>
      </c>
      <c r="I314" s="84"/>
    </row>
    <row r="315" spans="1:9" s="122" customFormat="1" ht="15.75">
      <c r="A315" s="27" t="s">
        <v>341</v>
      </c>
      <c r="B315" s="44" t="s">
        <v>67</v>
      </c>
      <c r="C315" s="20" t="s">
        <v>205</v>
      </c>
      <c r="D315" s="31" t="s">
        <v>200</v>
      </c>
      <c r="E315" s="20" t="s">
        <v>262</v>
      </c>
      <c r="F315" s="31"/>
      <c r="G315" s="251" t="s">
        <v>4</v>
      </c>
      <c r="H315" s="309">
        <f>65-65</f>
        <v>0</v>
      </c>
      <c r="I315" s="112"/>
    </row>
    <row r="316" spans="1:9" s="122" customFormat="1" ht="15.75">
      <c r="A316" s="120" t="s">
        <v>6</v>
      </c>
      <c r="B316" s="106" t="s">
        <v>67</v>
      </c>
      <c r="C316" s="103" t="s">
        <v>194</v>
      </c>
      <c r="D316" s="115" t="s">
        <v>126</v>
      </c>
      <c r="E316" s="103"/>
      <c r="F316" s="115"/>
      <c r="G316" s="255"/>
      <c r="H316" s="267">
        <f aca="true" t="shared" si="16" ref="H316:I318">H317</f>
        <v>26546.8</v>
      </c>
      <c r="I316" s="84">
        <f t="shared" si="16"/>
        <v>0</v>
      </c>
    </row>
    <row r="317" spans="1:9" s="122" customFormat="1" ht="15.75">
      <c r="A317" s="27" t="s">
        <v>9</v>
      </c>
      <c r="B317" s="42" t="s">
        <v>67</v>
      </c>
      <c r="C317" s="18" t="s">
        <v>194</v>
      </c>
      <c r="D317" s="29" t="s">
        <v>187</v>
      </c>
      <c r="E317" s="22"/>
      <c r="F317" s="29"/>
      <c r="G317" s="251"/>
      <c r="H317" s="264">
        <f t="shared" si="16"/>
        <v>26546.8</v>
      </c>
      <c r="I317" s="37">
        <f t="shared" si="16"/>
        <v>0</v>
      </c>
    </row>
    <row r="318" spans="1:9" s="122" customFormat="1" ht="15.75">
      <c r="A318" s="33" t="s">
        <v>31</v>
      </c>
      <c r="B318" s="16" t="s">
        <v>67</v>
      </c>
      <c r="C318" s="18" t="s">
        <v>194</v>
      </c>
      <c r="D318" s="29" t="s">
        <v>187</v>
      </c>
      <c r="E318" s="15" t="s">
        <v>32</v>
      </c>
      <c r="F318" s="10"/>
      <c r="G318" s="252"/>
      <c r="H318" s="265">
        <f t="shared" si="16"/>
        <v>26546.8</v>
      </c>
      <c r="I318" s="38">
        <f t="shared" si="16"/>
        <v>0</v>
      </c>
    </row>
    <row r="319" spans="1:9" ht="15.75">
      <c r="A319" s="26" t="s">
        <v>27</v>
      </c>
      <c r="B319" s="44" t="s">
        <v>67</v>
      </c>
      <c r="C319" s="18" t="s">
        <v>194</v>
      </c>
      <c r="D319" s="29" t="s">
        <v>187</v>
      </c>
      <c r="E319" s="20" t="s">
        <v>212</v>
      </c>
      <c r="F319" s="10"/>
      <c r="G319" s="254"/>
      <c r="H319" s="266">
        <f>H320</f>
        <v>26546.8</v>
      </c>
      <c r="I319" s="36">
        <f>I320</f>
        <v>0</v>
      </c>
    </row>
    <row r="320" spans="1:9" ht="15.75">
      <c r="A320" s="8" t="s">
        <v>172</v>
      </c>
      <c r="B320" s="44" t="s">
        <v>67</v>
      </c>
      <c r="C320" s="18" t="s">
        <v>194</v>
      </c>
      <c r="D320" s="29" t="s">
        <v>187</v>
      </c>
      <c r="E320" s="20" t="s">
        <v>212</v>
      </c>
      <c r="F320" s="10"/>
      <c r="G320" s="252" t="s">
        <v>86</v>
      </c>
      <c r="H320" s="266">
        <f>24500.5+1176.9-0.9+1211.2-340.9</f>
        <v>26546.8</v>
      </c>
      <c r="I320" s="268"/>
    </row>
    <row r="321" spans="1:9" ht="15.75">
      <c r="A321" s="120" t="s">
        <v>251</v>
      </c>
      <c r="B321" s="106" t="s">
        <v>67</v>
      </c>
      <c r="C321" s="103" t="s">
        <v>195</v>
      </c>
      <c r="D321" s="115" t="s">
        <v>126</v>
      </c>
      <c r="E321" s="103"/>
      <c r="F321" s="115"/>
      <c r="G321" s="255"/>
      <c r="H321" s="267">
        <f>H322+H341</f>
        <v>83482.9</v>
      </c>
      <c r="I321" s="84">
        <f>I322+I341</f>
        <v>3452</v>
      </c>
    </row>
    <row r="322" spans="1:9" ht="15.75">
      <c r="A322" s="27" t="s">
        <v>34</v>
      </c>
      <c r="B322" s="42" t="s">
        <v>67</v>
      </c>
      <c r="C322" s="22" t="s">
        <v>195</v>
      </c>
      <c r="D322" s="29" t="s">
        <v>186</v>
      </c>
      <c r="E322" s="22"/>
      <c r="F322" s="29"/>
      <c r="G322" s="251"/>
      <c r="H322" s="264">
        <f>H323+H326+H329+H332+H338+H335</f>
        <v>78175.4</v>
      </c>
      <c r="I322" s="37">
        <f>I323+I326+I329+I332+I338+I335</f>
        <v>3452</v>
      </c>
    </row>
    <row r="323" spans="1:9" ht="26.25">
      <c r="A323" s="47" t="s">
        <v>119</v>
      </c>
      <c r="B323" s="43" t="s">
        <v>67</v>
      </c>
      <c r="C323" s="22" t="s">
        <v>195</v>
      </c>
      <c r="D323" s="29" t="s">
        <v>186</v>
      </c>
      <c r="E323" s="18" t="s">
        <v>35</v>
      </c>
      <c r="F323" s="30"/>
      <c r="G323" s="252"/>
      <c r="H323" s="265">
        <f>H324</f>
        <v>39107.8</v>
      </c>
      <c r="I323" s="38">
        <f>I324</f>
        <v>3200</v>
      </c>
    </row>
    <row r="324" spans="1:9" ht="15.75">
      <c r="A324" s="26" t="s">
        <v>27</v>
      </c>
      <c r="B324" s="43" t="s">
        <v>67</v>
      </c>
      <c r="C324" s="22" t="s">
        <v>195</v>
      </c>
      <c r="D324" s="29" t="s">
        <v>186</v>
      </c>
      <c r="E324" s="18" t="s">
        <v>222</v>
      </c>
      <c r="F324" s="30"/>
      <c r="G324" s="252"/>
      <c r="H324" s="265">
        <f>H325</f>
        <v>39107.8</v>
      </c>
      <c r="I324" s="38">
        <f>I325</f>
        <v>3200</v>
      </c>
    </row>
    <row r="325" spans="1:9" ht="15.75">
      <c r="A325" s="8" t="s">
        <v>172</v>
      </c>
      <c r="B325" s="43" t="s">
        <v>67</v>
      </c>
      <c r="C325" s="22" t="s">
        <v>195</v>
      </c>
      <c r="D325" s="29" t="s">
        <v>186</v>
      </c>
      <c r="E325" s="18" t="s">
        <v>222</v>
      </c>
      <c r="F325" s="30"/>
      <c r="G325" s="252" t="s">
        <v>86</v>
      </c>
      <c r="H325" s="265">
        <f>36718.3+3200+2400+299.9+5183.1-2173.9-6519.6</f>
        <v>39107.8</v>
      </c>
      <c r="I325" s="38">
        <v>3200</v>
      </c>
    </row>
    <row r="326" spans="1:9" ht="15.75">
      <c r="A326" s="25" t="s">
        <v>13</v>
      </c>
      <c r="B326" s="43" t="s">
        <v>67</v>
      </c>
      <c r="C326" s="22" t="s">
        <v>195</v>
      </c>
      <c r="D326" s="29" t="s">
        <v>186</v>
      </c>
      <c r="E326" s="18" t="s">
        <v>36</v>
      </c>
      <c r="F326" s="30"/>
      <c r="G326" s="252"/>
      <c r="H326" s="265">
        <f>H327</f>
        <v>3313.6000000000004</v>
      </c>
      <c r="I326" s="38">
        <f>I327</f>
        <v>0</v>
      </c>
    </row>
    <row r="327" spans="1:9" ht="15.75">
      <c r="A327" s="26" t="s">
        <v>27</v>
      </c>
      <c r="B327" s="43" t="s">
        <v>67</v>
      </c>
      <c r="C327" s="22" t="s">
        <v>195</v>
      </c>
      <c r="D327" s="29" t="s">
        <v>186</v>
      </c>
      <c r="E327" s="18" t="s">
        <v>223</v>
      </c>
      <c r="F327" s="30"/>
      <c r="G327" s="252"/>
      <c r="H327" s="265">
        <f>H328</f>
        <v>3313.6000000000004</v>
      </c>
      <c r="I327" s="38">
        <f>I328</f>
        <v>0</v>
      </c>
    </row>
    <row r="328" spans="1:9" ht="15.75">
      <c r="A328" s="8" t="s">
        <v>172</v>
      </c>
      <c r="B328" s="43" t="s">
        <v>67</v>
      </c>
      <c r="C328" s="22" t="s">
        <v>195</v>
      </c>
      <c r="D328" s="29" t="s">
        <v>186</v>
      </c>
      <c r="E328" s="18" t="s">
        <v>223</v>
      </c>
      <c r="F328" s="30"/>
      <c r="G328" s="252" t="s">
        <v>86</v>
      </c>
      <c r="H328" s="265">
        <f>3780.8+13.4-8.7-471.9</f>
        <v>3313.6000000000004</v>
      </c>
      <c r="I328" s="269"/>
    </row>
    <row r="329" spans="1:9" ht="15.75">
      <c r="A329" s="25" t="s">
        <v>14</v>
      </c>
      <c r="B329" s="43" t="s">
        <v>67</v>
      </c>
      <c r="C329" s="22" t="s">
        <v>195</v>
      </c>
      <c r="D329" s="29" t="s">
        <v>186</v>
      </c>
      <c r="E329" s="18" t="s">
        <v>37</v>
      </c>
      <c r="F329" s="30"/>
      <c r="G329" s="256"/>
      <c r="H329" s="265">
        <f>H330</f>
        <v>10969.400000000001</v>
      </c>
      <c r="I329" s="38">
        <f>I330</f>
        <v>0</v>
      </c>
    </row>
    <row r="330" spans="1:9" ht="15.75">
      <c r="A330" s="26" t="s">
        <v>27</v>
      </c>
      <c r="B330" s="43" t="s">
        <v>67</v>
      </c>
      <c r="C330" s="22" t="s">
        <v>195</v>
      </c>
      <c r="D330" s="29" t="s">
        <v>186</v>
      </c>
      <c r="E330" s="18" t="s">
        <v>224</v>
      </c>
      <c r="F330" s="30"/>
      <c r="G330" s="256"/>
      <c r="H330" s="265">
        <f>H331</f>
        <v>10969.400000000001</v>
      </c>
      <c r="I330" s="38">
        <f>I331</f>
        <v>0</v>
      </c>
    </row>
    <row r="331" spans="1:9" ht="15.75">
      <c r="A331" s="8" t="s">
        <v>172</v>
      </c>
      <c r="B331" s="43" t="s">
        <v>67</v>
      </c>
      <c r="C331" s="22" t="s">
        <v>195</v>
      </c>
      <c r="D331" s="29" t="s">
        <v>186</v>
      </c>
      <c r="E331" s="18" t="s">
        <v>224</v>
      </c>
      <c r="F331" s="30"/>
      <c r="G331" s="252" t="s">
        <v>86</v>
      </c>
      <c r="H331" s="265">
        <f>13177+1982+362+30.1+200-1549.9-2979.8-252</f>
        <v>10969.400000000001</v>
      </c>
      <c r="I331" s="38">
        <f>252-252</f>
        <v>0</v>
      </c>
    </row>
    <row r="332" spans="1:9" ht="15" customHeight="1">
      <c r="A332" s="47" t="s">
        <v>112</v>
      </c>
      <c r="B332" s="43" t="s">
        <v>67</v>
      </c>
      <c r="C332" s="22" t="s">
        <v>195</v>
      </c>
      <c r="D332" s="29" t="s">
        <v>186</v>
      </c>
      <c r="E332" s="18" t="s">
        <v>38</v>
      </c>
      <c r="F332" s="30"/>
      <c r="G332" s="252"/>
      <c r="H332" s="265">
        <f>H333</f>
        <v>23461.2</v>
      </c>
      <c r="I332" s="38">
        <f>I333</f>
        <v>0</v>
      </c>
    </row>
    <row r="333" spans="1:9" ht="15.75">
      <c r="A333" s="26" t="s">
        <v>27</v>
      </c>
      <c r="B333" s="43" t="s">
        <v>67</v>
      </c>
      <c r="C333" s="22" t="s">
        <v>195</v>
      </c>
      <c r="D333" s="29" t="s">
        <v>186</v>
      </c>
      <c r="E333" s="18" t="s">
        <v>225</v>
      </c>
      <c r="F333" s="30"/>
      <c r="G333" s="252"/>
      <c r="H333" s="265">
        <f>H334</f>
        <v>23461.2</v>
      </c>
      <c r="I333" s="38">
        <f>I334</f>
        <v>0</v>
      </c>
    </row>
    <row r="334" spans="1:9" ht="15.75">
      <c r="A334" s="8" t="s">
        <v>172</v>
      </c>
      <c r="B334" s="43" t="s">
        <v>67</v>
      </c>
      <c r="C334" s="22" t="s">
        <v>195</v>
      </c>
      <c r="D334" s="29" t="s">
        <v>186</v>
      </c>
      <c r="E334" s="18" t="s">
        <v>225</v>
      </c>
      <c r="F334" s="30"/>
      <c r="G334" s="252" t="s">
        <v>86</v>
      </c>
      <c r="H334" s="265">
        <f>24941.2+171.9-1451.9+393.5-593.5</f>
        <v>23461.2</v>
      </c>
      <c r="I334" s="269"/>
    </row>
    <row r="335" spans="1:9" ht="26.25">
      <c r="A335" s="121" t="s">
        <v>457</v>
      </c>
      <c r="B335" s="43" t="s">
        <v>67</v>
      </c>
      <c r="C335" s="22" t="s">
        <v>195</v>
      </c>
      <c r="D335" s="29" t="s">
        <v>186</v>
      </c>
      <c r="E335" s="18" t="s">
        <v>39</v>
      </c>
      <c r="F335" s="30"/>
      <c r="G335" s="252"/>
      <c r="H335" s="265">
        <f>H336</f>
        <v>252</v>
      </c>
      <c r="I335" s="38">
        <f>I336</f>
        <v>252</v>
      </c>
    </row>
    <row r="336" spans="1:9" ht="16.5" customHeight="1">
      <c r="A336" s="121" t="s">
        <v>458</v>
      </c>
      <c r="B336" s="43" t="s">
        <v>67</v>
      </c>
      <c r="C336" s="22" t="s">
        <v>195</v>
      </c>
      <c r="D336" s="29" t="s">
        <v>186</v>
      </c>
      <c r="E336" s="18" t="s">
        <v>459</v>
      </c>
      <c r="F336" s="30"/>
      <c r="G336" s="252"/>
      <c r="H336" s="265">
        <f>H337</f>
        <v>252</v>
      </c>
      <c r="I336" s="38">
        <f>I337</f>
        <v>252</v>
      </c>
    </row>
    <row r="337" spans="1:9" ht="15.75">
      <c r="A337" s="8" t="s">
        <v>172</v>
      </c>
      <c r="B337" s="43" t="s">
        <v>67</v>
      </c>
      <c r="C337" s="22" t="s">
        <v>195</v>
      </c>
      <c r="D337" s="29" t="s">
        <v>186</v>
      </c>
      <c r="E337" s="18" t="s">
        <v>459</v>
      </c>
      <c r="F337" s="30"/>
      <c r="G337" s="252" t="s">
        <v>86</v>
      </c>
      <c r="H337" s="265">
        <v>252</v>
      </c>
      <c r="I337" s="269">
        <v>252</v>
      </c>
    </row>
    <row r="338" spans="1:9" ht="15.75">
      <c r="A338" s="25" t="s">
        <v>131</v>
      </c>
      <c r="B338" s="43" t="s">
        <v>67</v>
      </c>
      <c r="C338" s="22" t="s">
        <v>195</v>
      </c>
      <c r="D338" s="29" t="s">
        <v>186</v>
      </c>
      <c r="E338" s="18" t="s">
        <v>132</v>
      </c>
      <c r="F338" s="30"/>
      <c r="G338" s="252"/>
      <c r="H338" s="265">
        <f>H339</f>
        <v>1071.3999999999996</v>
      </c>
      <c r="I338" s="38">
        <f>I339</f>
        <v>0</v>
      </c>
    </row>
    <row r="339" spans="1:9" ht="26.25">
      <c r="A339" s="109" t="s">
        <v>253</v>
      </c>
      <c r="B339" s="43" t="s">
        <v>67</v>
      </c>
      <c r="C339" s="22" t="s">
        <v>195</v>
      </c>
      <c r="D339" s="29" t="s">
        <v>186</v>
      </c>
      <c r="E339" s="18" t="s">
        <v>252</v>
      </c>
      <c r="F339" s="30"/>
      <c r="G339" s="252"/>
      <c r="H339" s="265">
        <f>H340</f>
        <v>1071.3999999999996</v>
      </c>
      <c r="I339" s="38">
        <f>I340</f>
        <v>0</v>
      </c>
    </row>
    <row r="340" spans="1:9" ht="26.25">
      <c r="A340" s="109" t="s">
        <v>346</v>
      </c>
      <c r="B340" s="43" t="s">
        <v>67</v>
      </c>
      <c r="C340" s="22" t="s">
        <v>195</v>
      </c>
      <c r="D340" s="29" t="s">
        <v>186</v>
      </c>
      <c r="E340" s="18" t="s">
        <v>252</v>
      </c>
      <c r="F340" s="30"/>
      <c r="G340" s="252" t="s">
        <v>347</v>
      </c>
      <c r="H340" s="265">
        <f>4671.4+1800-5400</f>
        <v>1071.3999999999996</v>
      </c>
      <c r="I340" s="269"/>
    </row>
    <row r="341" spans="1:9" ht="26.25">
      <c r="A341" s="131" t="s">
        <v>113</v>
      </c>
      <c r="B341" s="106" t="s">
        <v>67</v>
      </c>
      <c r="C341" s="17" t="s">
        <v>195</v>
      </c>
      <c r="D341" s="115" t="s">
        <v>205</v>
      </c>
      <c r="E341" s="103"/>
      <c r="F341" s="115"/>
      <c r="G341" s="255"/>
      <c r="H341" s="267">
        <f>H345+H342</f>
        <v>5307.5</v>
      </c>
      <c r="I341" s="84">
        <f>I345+I342</f>
        <v>0</v>
      </c>
    </row>
    <row r="342" spans="1:9" ht="15.75">
      <c r="A342" s="47" t="s">
        <v>147</v>
      </c>
      <c r="B342" s="43" t="s">
        <v>67</v>
      </c>
      <c r="C342" s="22" t="s">
        <v>195</v>
      </c>
      <c r="D342" s="30" t="s">
        <v>205</v>
      </c>
      <c r="E342" s="18" t="s">
        <v>277</v>
      </c>
      <c r="F342" s="30"/>
      <c r="G342" s="252"/>
      <c r="H342" s="265">
        <f>H343</f>
        <v>3260.6</v>
      </c>
      <c r="I342" s="38">
        <f>I343</f>
        <v>0</v>
      </c>
    </row>
    <row r="343" spans="1:9" ht="15.75">
      <c r="A343" s="27" t="s">
        <v>50</v>
      </c>
      <c r="B343" s="43" t="s">
        <v>67</v>
      </c>
      <c r="C343" s="22" t="s">
        <v>195</v>
      </c>
      <c r="D343" s="30" t="s">
        <v>205</v>
      </c>
      <c r="E343" s="18" t="s">
        <v>279</v>
      </c>
      <c r="F343" s="30"/>
      <c r="G343" s="252"/>
      <c r="H343" s="265">
        <f>H344</f>
        <v>3260.6</v>
      </c>
      <c r="I343" s="38">
        <f>I344</f>
        <v>0</v>
      </c>
    </row>
    <row r="344" spans="1:9" ht="15.75">
      <c r="A344" s="27" t="s">
        <v>146</v>
      </c>
      <c r="B344" s="43" t="s">
        <v>67</v>
      </c>
      <c r="C344" s="22" t="s">
        <v>195</v>
      </c>
      <c r="D344" s="30" t="s">
        <v>205</v>
      </c>
      <c r="E344" s="18" t="s">
        <v>279</v>
      </c>
      <c r="F344" s="30"/>
      <c r="G344" s="252" t="s">
        <v>278</v>
      </c>
      <c r="H344" s="265">
        <f>5141.7-399.4-276.5-358.8-846.4</f>
        <v>3260.6</v>
      </c>
      <c r="I344" s="269"/>
    </row>
    <row r="345" spans="1:9" ht="42.75" customHeight="1">
      <c r="A345" s="46" t="s">
        <v>111</v>
      </c>
      <c r="B345" s="43" t="s">
        <v>67</v>
      </c>
      <c r="C345" s="22" t="s">
        <v>195</v>
      </c>
      <c r="D345" s="30" t="s">
        <v>205</v>
      </c>
      <c r="E345" s="18" t="s">
        <v>40</v>
      </c>
      <c r="F345" s="30"/>
      <c r="G345" s="252"/>
      <c r="H345" s="265">
        <f>H346</f>
        <v>2046.9</v>
      </c>
      <c r="I345" s="38">
        <f>I346</f>
        <v>0</v>
      </c>
    </row>
    <row r="346" spans="1:9" s="23" customFormat="1" ht="15.75">
      <c r="A346" s="25" t="s">
        <v>27</v>
      </c>
      <c r="B346" s="44"/>
      <c r="C346" s="22" t="s">
        <v>195</v>
      </c>
      <c r="D346" s="31" t="s">
        <v>205</v>
      </c>
      <c r="E346" s="20" t="s">
        <v>218</v>
      </c>
      <c r="F346" s="31"/>
      <c r="G346" s="262"/>
      <c r="H346" s="266">
        <f>H347</f>
        <v>2046.9</v>
      </c>
      <c r="I346" s="36">
        <f>I347</f>
        <v>0</v>
      </c>
    </row>
    <row r="347" spans="1:9" ht="16.5" thickBot="1">
      <c r="A347" s="26" t="s">
        <v>172</v>
      </c>
      <c r="B347" s="44" t="s">
        <v>67</v>
      </c>
      <c r="C347" s="22" t="s">
        <v>195</v>
      </c>
      <c r="D347" s="31" t="s">
        <v>205</v>
      </c>
      <c r="E347" s="20" t="s">
        <v>218</v>
      </c>
      <c r="F347" s="31"/>
      <c r="G347" s="257" t="s">
        <v>86</v>
      </c>
      <c r="H347" s="266">
        <f>2867.3+91-305.9-605.5</f>
        <v>2046.9</v>
      </c>
      <c r="I347" s="311"/>
    </row>
    <row r="348" spans="1:9" ht="21" customHeight="1" thickBot="1">
      <c r="A348" s="428" t="s">
        <v>117</v>
      </c>
      <c r="B348" s="28" t="s">
        <v>69</v>
      </c>
      <c r="C348" s="21"/>
      <c r="D348" s="13"/>
      <c r="E348" s="21"/>
      <c r="F348" s="13"/>
      <c r="G348" s="55"/>
      <c r="H348" s="322">
        <f>H349+H382</f>
        <v>559447.6</v>
      </c>
      <c r="I348" s="39">
        <f>I349+I382</f>
        <v>13480</v>
      </c>
    </row>
    <row r="349" spans="1:9" ht="15.75">
      <c r="A349" s="114" t="s">
        <v>250</v>
      </c>
      <c r="B349" s="105" t="s">
        <v>69</v>
      </c>
      <c r="C349" s="17" t="s">
        <v>192</v>
      </c>
      <c r="D349" s="32" t="s">
        <v>126</v>
      </c>
      <c r="E349" s="17"/>
      <c r="F349" s="99"/>
      <c r="G349" s="91"/>
      <c r="H349" s="340">
        <f>H350+H358+H363+H367+H374</f>
        <v>558447.6</v>
      </c>
      <c r="I349" s="88">
        <f>I350+I358+I363+I367+I374</f>
        <v>13480</v>
      </c>
    </row>
    <row r="350" spans="1:9" ht="18" customHeight="1">
      <c r="A350" s="114" t="s">
        <v>228</v>
      </c>
      <c r="B350" s="42" t="s">
        <v>69</v>
      </c>
      <c r="C350" s="22" t="s">
        <v>192</v>
      </c>
      <c r="D350" s="29" t="s">
        <v>186</v>
      </c>
      <c r="E350" s="17"/>
      <c r="F350" s="32"/>
      <c r="G350" s="123"/>
      <c r="H350" s="340">
        <f>H351+H355</f>
        <v>257076.8</v>
      </c>
      <c r="I350" s="88">
        <f>I351+I355</f>
        <v>1678</v>
      </c>
    </row>
    <row r="351" spans="1:9" ht="18" customHeight="1">
      <c r="A351" s="25" t="s">
        <v>41</v>
      </c>
      <c r="B351" s="42" t="s">
        <v>69</v>
      </c>
      <c r="C351" s="22" t="s">
        <v>192</v>
      </c>
      <c r="D351" s="30" t="s">
        <v>186</v>
      </c>
      <c r="E351" s="18" t="s">
        <v>42</v>
      </c>
      <c r="F351" s="30"/>
      <c r="G351" s="85"/>
      <c r="H351" s="339">
        <f>H352</f>
        <v>236373.8</v>
      </c>
      <c r="I351" s="38">
        <f>I352</f>
        <v>1078</v>
      </c>
    </row>
    <row r="352" spans="1:9" ht="15.75">
      <c r="A352" s="26" t="s">
        <v>27</v>
      </c>
      <c r="B352" s="42" t="s">
        <v>69</v>
      </c>
      <c r="C352" s="22" t="s">
        <v>192</v>
      </c>
      <c r="D352" s="30" t="s">
        <v>186</v>
      </c>
      <c r="E352" s="18" t="s">
        <v>229</v>
      </c>
      <c r="F352" s="30"/>
      <c r="G352" s="94"/>
      <c r="H352" s="339">
        <f>H353+H354</f>
        <v>236373.8</v>
      </c>
      <c r="I352" s="38">
        <f>I353+I354</f>
        <v>1078</v>
      </c>
    </row>
    <row r="353" spans="1:9" ht="15.75">
      <c r="A353" s="26" t="s">
        <v>172</v>
      </c>
      <c r="B353" s="42" t="s">
        <v>69</v>
      </c>
      <c r="C353" s="22" t="s">
        <v>192</v>
      </c>
      <c r="D353" s="30" t="s">
        <v>186</v>
      </c>
      <c r="E353" s="18" t="s">
        <v>229</v>
      </c>
      <c r="F353" s="30"/>
      <c r="G353" s="94" t="s">
        <v>86</v>
      </c>
      <c r="H353" s="339">
        <f>70304.8+13540.1+141598.8+1135+1000+10928.7-114+4606.3-1021+160.9+858.4-612-7548+1200+257.8</f>
        <v>236295.8</v>
      </c>
      <c r="I353" s="38">
        <f>1135+1000-114-1021</f>
        <v>1000</v>
      </c>
    </row>
    <row r="354" spans="1:9" ht="15.75">
      <c r="A354" s="26" t="s">
        <v>172</v>
      </c>
      <c r="B354" s="42" t="s">
        <v>69</v>
      </c>
      <c r="C354" s="22" t="s">
        <v>192</v>
      </c>
      <c r="D354" s="30" t="s">
        <v>186</v>
      </c>
      <c r="E354" s="18" t="s">
        <v>425</v>
      </c>
      <c r="F354" s="30"/>
      <c r="G354" s="94" t="s">
        <v>86</v>
      </c>
      <c r="H354" s="339">
        <f>1021-943</f>
        <v>78</v>
      </c>
      <c r="I354" s="38">
        <f>1021-943</f>
        <v>78</v>
      </c>
    </row>
    <row r="355" spans="1:9" ht="15.75">
      <c r="A355" s="26" t="s">
        <v>328</v>
      </c>
      <c r="B355" s="42" t="s">
        <v>69</v>
      </c>
      <c r="C355" s="22" t="s">
        <v>192</v>
      </c>
      <c r="D355" s="30" t="s">
        <v>186</v>
      </c>
      <c r="E355" s="18" t="s">
        <v>329</v>
      </c>
      <c r="F355" s="30"/>
      <c r="G355" s="94"/>
      <c r="H355" s="339">
        <f>H356</f>
        <v>20703</v>
      </c>
      <c r="I355" s="38">
        <f>I356</f>
        <v>600</v>
      </c>
    </row>
    <row r="356" spans="1:9" ht="15.75">
      <c r="A356" s="26" t="s">
        <v>27</v>
      </c>
      <c r="B356" s="42" t="s">
        <v>69</v>
      </c>
      <c r="C356" s="22" t="s">
        <v>192</v>
      </c>
      <c r="D356" s="30" t="s">
        <v>186</v>
      </c>
      <c r="E356" s="18" t="s">
        <v>330</v>
      </c>
      <c r="F356" s="30"/>
      <c r="G356" s="94"/>
      <c r="H356" s="339">
        <f>H357</f>
        <v>20703</v>
      </c>
      <c r="I356" s="38">
        <f>I357</f>
        <v>600</v>
      </c>
    </row>
    <row r="357" spans="1:9" ht="15.75">
      <c r="A357" s="26" t="s">
        <v>172</v>
      </c>
      <c r="B357" s="42" t="s">
        <v>69</v>
      </c>
      <c r="C357" s="22" t="s">
        <v>192</v>
      </c>
      <c r="D357" s="30" t="s">
        <v>186</v>
      </c>
      <c r="E357" s="18" t="s">
        <v>330</v>
      </c>
      <c r="F357" s="30"/>
      <c r="G357" s="94" t="s">
        <v>86</v>
      </c>
      <c r="H357" s="339">
        <f>785+5885.2+11825.8+600+1857-400+150</f>
        <v>20703</v>
      </c>
      <c r="I357" s="38">
        <v>600</v>
      </c>
    </row>
    <row r="358" spans="1:9" ht="15.75">
      <c r="A358" s="26" t="s">
        <v>331</v>
      </c>
      <c r="B358" s="42" t="s">
        <v>69</v>
      </c>
      <c r="C358" s="22" t="s">
        <v>192</v>
      </c>
      <c r="D358" s="30" t="s">
        <v>187</v>
      </c>
      <c r="E358" s="18"/>
      <c r="F358" s="30"/>
      <c r="G358" s="94"/>
      <c r="H358" s="339">
        <f>H359</f>
        <v>265785</v>
      </c>
      <c r="I358" s="38">
        <f>I359</f>
        <v>9419</v>
      </c>
    </row>
    <row r="359" spans="1:9" ht="15.75">
      <c r="A359" s="26" t="s">
        <v>332</v>
      </c>
      <c r="B359" s="42" t="s">
        <v>69</v>
      </c>
      <c r="C359" s="22" t="s">
        <v>192</v>
      </c>
      <c r="D359" s="30" t="s">
        <v>187</v>
      </c>
      <c r="E359" s="18" t="s">
        <v>333</v>
      </c>
      <c r="F359" s="30"/>
      <c r="G359" s="94"/>
      <c r="H359" s="339">
        <f>H360</f>
        <v>265785</v>
      </c>
      <c r="I359" s="38">
        <f>I360</f>
        <v>9419</v>
      </c>
    </row>
    <row r="360" spans="1:9" ht="15.75">
      <c r="A360" s="26" t="s">
        <v>27</v>
      </c>
      <c r="B360" s="42" t="s">
        <v>69</v>
      </c>
      <c r="C360" s="22" t="s">
        <v>192</v>
      </c>
      <c r="D360" s="30" t="s">
        <v>187</v>
      </c>
      <c r="E360" s="18" t="s">
        <v>334</v>
      </c>
      <c r="F360" s="30"/>
      <c r="G360" s="94"/>
      <c r="H360" s="339">
        <f>H361+H362</f>
        <v>265785</v>
      </c>
      <c r="I360" s="38">
        <f>I361+I362</f>
        <v>9419</v>
      </c>
    </row>
    <row r="361" spans="1:9" ht="15.75">
      <c r="A361" s="26" t="s">
        <v>172</v>
      </c>
      <c r="B361" s="42" t="s">
        <v>69</v>
      </c>
      <c r="C361" s="22" t="s">
        <v>192</v>
      </c>
      <c r="D361" s="30" t="s">
        <v>187</v>
      </c>
      <c r="E361" s="18" t="s">
        <v>334</v>
      </c>
      <c r="F361" s="30"/>
      <c r="G361" s="94" t="s">
        <v>86</v>
      </c>
      <c r="H361" s="339">
        <f>85782.6+34858+122959.1+9702+1800+400+80+10627.9-970+10920-8732+136.6-1789.5-9458.7+1250+1000</f>
        <v>258566</v>
      </c>
      <c r="I361" s="38">
        <f>9702+1800+400-970+10920-10920-8732</f>
        <v>2200</v>
      </c>
    </row>
    <row r="362" spans="1:9" ht="15.75">
      <c r="A362" s="26" t="s">
        <v>172</v>
      </c>
      <c r="B362" s="42" t="s">
        <v>69</v>
      </c>
      <c r="C362" s="22" t="s">
        <v>192</v>
      </c>
      <c r="D362" s="30" t="s">
        <v>187</v>
      </c>
      <c r="E362" s="18" t="s">
        <v>424</v>
      </c>
      <c r="F362" s="30"/>
      <c r="G362" s="94" t="s">
        <v>86</v>
      </c>
      <c r="H362" s="339">
        <f>8732-1513</f>
        <v>7219</v>
      </c>
      <c r="I362" s="38">
        <f>8732-1513</f>
        <v>7219</v>
      </c>
    </row>
    <row r="363" spans="1:9" ht="15.75">
      <c r="A363" s="26" t="s">
        <v>335</v>
      </c>
      <c r="B363" s="42" t="s">
        <v>69</v>
      </c>
      <c r="C363" s="22" t="s">
        <v>192</v>
      </c>
      <c r="D363" s="30" t="s">
        <v>191</v>
      </c>
      <c r="E363" s="18"/>
      <c r="F363" s="30"/>
      <c r="G363" s="94"/>
      <c r="H363" s="339">
        <f aca="true" t="shared" si="17" ref="H363:I365">H364</f>
        <v>3895.8</v>
      </c>
      <c r="I363" s="38">
        <f t="shared" si="17"/>
        <v>0</v>
      </c>
    </row>
    <row r="364" spans="1:9" ht="15.75">
      <c r="A364" s="25" t="s">
        <v>41</v>
      </c>
      <c r="B364" s="42" t="s">
        <v>69</v>
      </c>
      <c r="C364" s="22" t="s">
        <v>192</v>
      </c>
      <c r="D364" s="30" t="s">
        <v>191</v>
      </c>
      <c r="E364" s="18" t="s">
        <v>42</v>
      </c>
      <c r="F364" s="30"/>
      <c r="G364" s="85"/>
      <c r="H364" s="339">
        <f t="shared" si="17"/>
        <v>3895.8</v>
      </c>
      <c r="I364" s="38">
        <f t="shared" si="17"/>
        <v>0</v>
      </c>
    </row>
    <row r="365" spans="1:9" ht="15.75">
      <c r="A365" s="26" t="s">
        <v>27</v>
      </c>
      <c r="B365" s="42" t="s">
        <v>69</v>
      </c>
      <c r="C365" s="22" t="s">
        <v>192</v>
      </c>
      <c r="D365" s="30" t="s">
        <v>191</v>
      </c>
      <c r="E365" s="18" t="s">
        <v>229</v>
      </c>
      <c r="F365" s="30"/>
      <c r="G365" s="94"/>
      <c r="H365" s="339">
        <f t="shared" si="17"/>
        <v>3895.8</v>
      </c>
      <c r="I365" s="38">
        <f t="shared" si="17"/>
        <v>0</v>
      </c>
    </row>
    <row r="366" spans="1:9" ht="15.75">
      <c r="A366" s="26" t="s">
        <v>172</v>
      </c>
      <c r="B366" s="42" t="s">
        <v>69</v>
      </c>
      <c r="C366" s="22" t="s">
        <v>192</v>
      </c>
      <c r="D366" s="30" t="s">
        <v>191</v>
      </c>
      <c r="E366" s="18" t="s">
        <v>229</v>
      </c>
      <c r="F366" s="30"/>
      <c r="G366" s="94" t="s">
        <v>86</v>
      </c>
      <c r="H366" s="339">
        <f>692.4+8.1+3195.3</f>
        <v>3895.8</v>
      </c>
      <c r="I366" s="38"/>
    </row>
    <row r="367" spans="1:9" ht="15.75">
      <c r="A367" s="26" t="s">
        <v>336</v>
      </c>
      <c r="B367" s="42" t="s">
        <v>69</v>
      </c>
      <c r="C367" s="22" t="s">
        <v>192</v>
      </c>
      <c r="D367" s="30" t="s">
        <v>188</v>
      </c>
      <c r="E367" s="18"/>
      <c r="F367" s="30"/>
      <c r="G367" s="94"/>
      <c r="H367" s="339">
        <f>H368+H371</f>
        <v>31004.6</v>
      </c>
      <c r="I367" s="38">
        <f>I368+I371</f>
        <v>2383</v>
      </c>
    </row>
    <row r="368" spans="1:9" ht="15.75">
      <c r="A368" s="26" t="s">
        <v>337</v>
      </c>
      <c r="B368" s="42" t="s">
        <v>69</v>
      </c>
      <c r="C368" s="22" t="s">
        <v>192</v>
      </c>
      <c r="D368" s="30" t="s">
        <v>188</v>
      </c>
      <c r="E368" s="18" t="s">
        <v>338</v>
      </c>
      <c r="F368" s="30"/>
      <c r="G368" s="94"/>
      <c r="H368" s="339">
        <f>H369</f>
        <v>28052.399999999998</v>
      </c>
      <c r="I368" s="38">
        <f>I369</f>
        <v>0</v>
      </c>
    </row>
    <row r="369" spans="1:9" ht="15.75">
      <c r="A369" s="26" t="s">
        <v>27</v>
      </c>
      <c r="B369" s="42" t="s">
        <v>69</v>
      </c>
      <c r="C369" s="22" t="s">
        <v>192</v>
      </c>
      <c r="D369" s="30" t="s">
        <v>188</v>
      </c>
      <c r="E369" s="18" t="s">
        <v>339</v>
      </c>
      <c r="F369" s="30"/>
      <c r="G369" s="94"/>
      <c r="H369" s="339">
        <f>H370</f>
        <v>28052.399999999998</v>
      </c>
      <c r="I369" s="38">
        <f>I370</f>
        <v>0</v>
      </c>
    </row>
    <row r="370" spans="1:9" ht="15.75">
      <c r="A370" s="26" t="s">
        <v>172</v>
      </c>
      <c r="B370" s="42" t="s">
        <v>69</v>
      </c>
      <c r="C370" s="22" t="s">
        <v>192</v>
      </c>
      <c r="D370" s="30" t="s">
        <v>188</v>
      </c>
      <c r="E370" s="18" t="s">
        <v>339</v>
      </c>
      <c r="F370" s="30"/>
      <c r="G370" s="94" t="s">
        <v>86</v>
      </c>
      <c r="H370" s="339">
        <f>28136.2+538.6+657+6.1-917.5-770+402</f>
        <v>28052.399999999998</v>
      </c>
      <c r="I370" s="38"/>
    </row>
    <row r="371" spans="1:9" ht="15.75">
      <c r="A371" s="26" t="s">
        <v>125</v>
      </c>
      <c r="B371" s="42" t="s">
        <v>69</v>
      </c>
      <c r="C371" s="22" t="s">
        <v>192</v>
      </c>
      <c r="D371" s="30" t="s">
        <v>188</v>
      </c>
      <c r="E371" s="18" t="s">
        <v>95</v>
      </c>
      <c r="F371" s="30"/>
      <c r="G371" s="94"/>
      <c r="H371" s="339">
        <f>H372</f>
        <v>2952.2</v>
      </c>
      <c r="I371" s="38">
        <f>I372</f>
        <v>2383</v>
      </c>
    </row>
    <row r="372" spans="1:9" ht="39">
      <c r="A372" s="46" t="s">
        <v>340</v>
      </c>
      <c r="B372" s="42" t="s">
        <v>69</v>
      </c>
      <c r="C372" s="22" t="s">
        <v>192</v>
      </c>
      <c r="D372" s="30" t="s">
        <v>188</v>
      </c>
      <c r="E372" s="18" t="s">
        <v>280</v>
      </c>
      <c r="F372" s="30"/>
      <c r="G372" s="94"/>
      <c r="H372" s="339">
        <f>H373</f>
        <v>2952.2</v>
      </c>
      <c r="I372" s="38">
        <f>I373</f>
        <v>2383</v>
      </c>
    </row>
    <row r="373" spans="1:9" ht="15.75">
      <c r="A373" s="26" t="s">
        <v>172</v>
      </c>
      <c r="B373" s="42" t="s">
        <v>69</v>
      </c>
      <c r="C373" s="22" t="s">
        <v>192</v>
      </c>
      <c r="D373" s="30" t="s">
        <v>188</v>
      </c>
      <c r="E373" s="18" t="s">
        <v>280</v>
      </c>
      <c r="F373" s="30"/>
      <c r="G373" s="94" t="s">
        <v>86</v>
      </c>
      <c r="H373" s="339">
        <f>2403+569.2+80-100</f>
        <v>2952.2</v>
      </c>
      <c r="I373" s="38">
        <f>2403+80-100</f>
        <v>2383</v>
      </c>
    </row>
    <row r="374" spans="1:9" ht="15.75">
      <c r="A374" s="120" t="s">
        <v>45</v>
      </c>
      <c r="B374" s="43" t="s">
        <v>69</v>
      </c>
      <c r="C374" s="18" t="s">
        <v>192</v>
      </c>
      <c r="D374" s="30" t="s">
        <v>193</v>
      </c>
      <c r="E374" s="18"/>
      <c r="F374" s="7"/>
      <c r="G374" s="51"/>
      <c r="H374" s="339">
        <f>H375</f>
        <v>685.3999999999999</v>
      </c>
      <c r="I374" s="38"/>
    </row>
    <row r="375" spans="1:9" ht="15.75">
      <c r="A375" s="8" t="s">
        <v>131</v>
      </c>
      <c r="B375" s="43" t="s">
        <v>69</v>
      </c>
      <c r="C375" s="18" t="s">
        <v>192</v>
      </c>
      <c r="D375" s="30" t="s">
        <v>193</v>
      </c>
      <c r="E375" s="18" t="s">
        <v>132</v>
      </c>
      <c r="F375" s="7"/>
      <c r="G375" s="51"/>
      <c r="H375" s="339">
        <f>H378+H376+H380</f>
        <v>685.3999999999999</v>
      </c>
      <c r="I375" s="38"/>
    </row>
    <row r="376" spans="1:9" ht="39">
      <c r="A376" s="109" t="s">
        <v>358</v>
      </c>
      <c r="B376" s="43" t="s">
        <v>69</v>
      </c>
      <c r="C376" s="18" t="s">
        <v>192</v>
      </c>
      <c r="D376" s="30" t="s">
        <v>193</v>
      </c>
      <c r="E376" s="18" t="s">
        <v>359</v>
      </c>
      <c r="F376" s="7"/>
      <c r="G376" s="51"/>
      <c r="H376" s="339">
        <f>H377</f>
        <v>671.2</v>
      </c>
      <c r="I376" s="38"/>
    </row>
    <row r="377" spans="1:9" ht="15.75">
      <c r="A377" s="33" t="s">
        <v>146</v>
      </c>
      <c r="B377" s="43" t="s">
        <v>69</v>
      </c>
      <c r="C377" s="18" t="s">
        <v>192</v>
      </c>
      <c r="D377" s="30" t="s">
        <v>193</v>
      </c>
      <c r="E377" s="18" t="s">
        <v>359</v>
      </c>
      <c r="F377" s="7"/>
      <c r="G377" s="51" t="s">
        <v>278</v>
      </c>
      <c r="H377" s="339">
        <f>2544.5-1500+500-873.3</f>
        <v>671.2</v>
      </c>
      <c r="I377" s="38"/>
    </row>
    <row r="378" spans="1:9" ht="39">
      <c r="A378" s="109" t="s">
        <v>353</v>
      </c>
      <c r="B378" s="43" t="s">
        <v>69</v>
      </c>
      <c r="C378" s="18" t="s">
        <v>192</v>
      </c>
      <c r="D378" s="30" t="s">
        <v>193</v>
      </c>
      <c r="E378" s="18" t="s">
        <v>354</v>
      </c>
      <c r="F378" s="7"/>
      <c r="G378" s="51"/>
      <c r="H378" s="339">
        <f>H379</f>
        <v>14.199999999999818</v>
      </c>
      <c r="I378" s="38"/>
    </row>
    <row r="379" spans="1:9" ht="15.75">
      <c r="A379" s="33" t="s">
        <v>146</v>
      </c>
      <c r="B379" s="43" t="s">
        <v>69</v>
      </c>
      <c r="C379" s="18" t="s">
        <v>192</v>
      </c>
      <c r="D379" s="30" t="s">
        <v>193</v>
      </c>
      <c r="E379" s="18" t="s">
        <v>354</v>
      </c>
      <c r="F379" s="7"/>
      <c r="G379" s="51" t="s">
        <v>278</v>
      </c>
      <c r="H379" s="339">
        <f>8187.4-3544.5-2500-2128.7</f>
        <v>14.199999999999818</v>
      </c>
      <c r="I379" s="38"/>
    </row>
    <row r="380" spans="1:9" ht="26.25">
      <c r="A380" s="277" t="s">
        <v>360</v>
      </c>
      <c r="B380" s="43" t="s">
        <v>69</v>
      </c>
      <c r="C380" s="18" t="s">
        <v>192</v>
      </c>
      <c r="D380" s="30" t="s">
        <v>193</v>
      </c>
      <c r="E380" s="18" t="s">
        <v>361</v>
      </c>
      <c r="F380" s="7"/>
      <c r="G380" s="51"/>
      <c r="H380" s="339">
        <f>H381</f>
        <v>0</v>
      </c>
      <c r="I380" s="38"/>
    </row>
    <row r="381" spans="1:9" ht="15.75">
      <c r="A381" s="33" t="s">
        <v>146</v>
      </c>
      <c r="B381" s="43" t="s">
        <v>69</v>
      </c>
      <c r="C381" s="18" t="s">
        <v>192</v>
      </c>
      <c r="D381" s="30" t="s">
        <v>193</v>
      </c>
      <c r="E381" s="18" t="s">
        <v>361</v>
      </c>
      <c r="F381" s="7"/>
      <c r="G381" s="51" t="s">
        <v>278</v>
      </c>
      <c r="H381" s="339">
        <f>1000-500-500</f>
        <v>0</v>
      </c>
      <c r="I381" s="38"/>
    </row>
    <row r="382" spans="1:9" ht="15.75">
      <c r="A382" s="111" t="s">
        <v>5</v>
      </c>
      <c r="B382" s="106" t="s">
        <v>69</v>
      </c>
      <c r="C382" s="103" t="s">
        <v>193</v>
      </c>
      <c r="D382" s="115" t="s">
        <v>126</v>
      </c>
      <c r="E382" s="103"/>
      <c r="F382" s="101"/>
      <c r="G382" s="95"/>
      <c r="H382" s="400">
        <f aca="true" t="shared" si="18" ref="H382:I385">H383</f>
        <v>1000</v>
      </c>
      <c r="I382" s="84">
        <f t="shared" si="18"/>
        <v>0</v>
      </c>
    </row>
    <row r="383" spans="1:9" ht="15.75">
      <c r="A383" s="8" t="s">
        <v>130</v>
      </c>
      <c r="B383" s="43" t="s">
        <v>69</v>
      </c>
      <c r="C383" s="18" t="s">
        <v>193</v>
      </c>
      <c r="D383" s="30" t="s">
        <v>205</v>
      </c>
      <c r="E383" s="18"/>
      <c r="F383" s="7"/>
      <c r="G383" s="51"/>
      <c r="H383" s="339">
        <f t="shared" si="18"/>
        <v>1000</v>
      </c>
      <c r="I383" s="38">
        <f t="shared" si="18"/>
        <v>0</v>
      </c>
    </row>
    <row r="384" spans="1:9" ht="15.75">
      <c r="A384" s="8" t="s">
        <v>131</v>
      </c>
      <c r="B384" s="43" t="s">
        <v>69</v>
      </c>
      <c r="C384" s="18" t="s">
        <v>193</v>
      </c>
      <c r="D384" s="30" t="s">
        <v>205</v>
      </c>
      <c r="E384" s="18" t="s">
        <v>132</v>
      </c>
      <c r="F384" s="7"/>
      <c r="G384" s="51"/>
      <c r="H384" s="339">
        <f t="shared" si="18"/>
        <v>1000</v>
      </c>
      <c r="I384" s="38">
        <f t="shared" si="18"/>
        <v>0</v>
      </c>
    </row>
    <row r="385" spans="1:9" ht="26.25">
      <c r="A385" s="109" t="s">
        <v>246</v>
      </c>
      <c r="B385" s="43" t="s">
        <v>69</v>
      </c>
      <c r="C385" s="18" t="s">
        <v>193</v>
      </c>
      <c r="D385" s="30" t="s">
        <v>205</v>
      </c>
      <c r="E385" s="18" t="s">
        <v>247</v>
      </c>
      <c r="F385" s="7"/>
      <c r="G385" s="51"/>
      <c r="H385" s="339">
        <f t="shared" si="18"/>
        <v>1000</v>
      </c>
      <c r="I385" s="38">
        <f t="shared" si="18"/>
        <v>0</v>
      </c>
    </row>
    <row r="386" spans="1:9" ht="16.5" thickBot="1">
      <c r="A386" s="33" t="s">
        <v>146</v>
      </c>
      <c r="B386" s="16" t="s">
        <v>69</v>
      </c>
      <c r="C386" s="15" t="s">
        <v>193</v>
      </c>
      <c r="D386" s="10" t="s">
        <v>205</v>
      </c>
      <c r="E386" s="15" t="s">
        <v>247</v>
      </c>
      <c r="F386" s="10" t="s">
        <v>278</v>
      </c>
      <c r="G386" s="133" t="s">
        <v>278</v>
      </c>
      <c r="H386" s="401">
        <f>1000+500-500</f>
        <v>1000</v>
      </c>
      <c r="I386" s="41"/>
    </row>
    <row r="387" spans="1:9" s="23" customFormat="1" ht="32.25" thickBot="1">
      <c r="A387" s="428" t="s">
        <v>123</v>
      </c>
      <c r="B387" s="28" t="s">
        <v>51</v>
      </c>
      <c r="C387" s="21"/>
      <c r="D387" s="13"/>
      <c r="E387" s="21"/>
      <c r="F387" s="13"/>
      <c r="G387" s="55"/>
      <c r="H387" s="322">
        <f>H388+H405+H393+H400</f>
        <v>10813.3</v>
      </c>
      <c r="I387" s="39">
        <f>I388+I405+I393+I400</f>
        <v>0</v>
      </c>
    </row>
    <row r="388" spans="1:9" ht="18" customHeight="1">
      <c r="A388" s="114" t="s">
        <v>17</v>
      </c>
      <c r="B388" s="105" t="s">
        <v>51</v>
      </c>
      <c r="C388" s="17" t="s">
        <v>186</v>
      </c>
      <c r="D388" s="32" t="s">
        <v>126</v>
      </c>
      <c r="E388" s="17"/>
      <c r="F388" s="99"/>
      <c r="G388" s="91"/>
      <c r="H388" s="342">
        <f aca="true" t="shared" si="19" ref="H388:I391">H389</f>
        <v>7373.4</v>
      </c>
      <c r="I388" s="40">
        <f t="shared" si="19"/>
        <v>0</v>
      </c>
    </row>
    <row r="389" spans="1:9" ht="15.75">
      <c r="A389" s="27" t="s">
        <v>80</v>
      </c>
      <c r="B389" s="42" t="s">
        <v>51</v>
      </c>
      <c r="C389" s="22" t="s">
        <v>186</v>
      </c>
      <c r="D389" s="29" t="s">
        <v>190</v>
      </c>
      <c r="E389" s="22"/>
      <c r="F389" s="29"/>
      <c r="G389" s="94"/>
      <c r="H389" s="338">
        <f t="shared" si="19"/>
        <v>7373.4</v>
      </c>
      <c r="I389" s="37">
        <f t="shared" si="19"/>
        <v>0</v>
      </c>
    </row>
    <row r="390" spans="1:9" ht="15.75">
      <c r="A390" s="25" t="s">
        <v>18</v>
      </c>
      <c r="B390" s="43" t="s">
        <v>51</v>
      </c>
      <c r="C390" s="18" t="s">
        <v>186</v>
      </c>
      <c r="D390" s="30" t="s">
        <v>190</v>
      </c>
      <c r="E390" s="18" t="s">
        <v>277</v>
      </c>
      <c r="F390" s="30"/>
      <c r="G390" s="85"/>
      <c r="H390" s="339">
        <f t="shared" si="19"/>
        <v>7373.4</v>
      </c>
      <c r="I390" s="38">
        <f t="shared" si="19"/>
        <v>0</v>
      </c>
    </row>
    <row r="391" spans="1:9" ht="15.75">
      <c r="A391" s="8" t="s">
        <v>50</v>
      </c>
      <c r="B391" s="44" t="s">
        <v>51</v>
      </c>
      <c r="C391" s="20" t="s">
        <v>186</v>
      </c>
      <c r="D391" s="31" t="s">
        <v>190</v>
      </c>
      <c r="E391" s="20" t="s">
        <v>279</v>
      </c>
      <c r="F391" s="5"/>
      <c r="G391" s="52"/>
      <c r="H391" s="339">
        <f t="shared" si="19"/>
        <v>7373.4</v>
      </c>
      <c r="I391" s="38">
        <f t="shared" si="19"/>
        <v>0</v>
      </c>
    </row>
    <row r="392" spans="1:9" ht="15.75">
      <c r="A392" s="8" t="s">
        <v>146</v>
      </c>
      <c r="B392" s="43" t="s">
        <v>51</v>
      </c>
      <c r="C392" s="18" t="s">
        <v>186</v>
      </c>
      <c r="D392" s="30" t="s">
        <v>190</v>
      </c>
      <c r="E392" s="18" t="s">
        <v>279</v>
      </c>
      <c r="F392" s="7"/>
      <c r="G392" s="51" t="s">
        <v>278</v>
      </c>
      <c r="H392" s="339">
        <f>9174.8-209-523.3-233.6-835.5</f>
        <v>7373.4</v>
      </c>
      <c r="I392" s="269"/>
    </row>
    <row r="393" spans="1:9" ht="15.75">
      <c r="A393" s="120" t="s">
        <v>23</v>
      </c>
      <c r="B393" s="106" t="s">
        <v>51</v>
      </c>
      <c r="C393" s="103" t="s">
        <v>200</v>
      </c>
      <c r="D393" s="115" t="s">
        <v>126</v>
      </c>
      <c r="E393" s="103"/>
      <c r="F393" s="101"/>
      <c r="G393" s="95"/>
      <c r="H393" s="339">
        <f>H394</f>
        <v>2937</v>
      </c>
      <c r="I393" s="269"/>
    </row>
    <row r="394" spans="1:9" ht="15.75">
      <c r="A394" s="116" t="s">
        <v>134</v>
      </c>
      <c r="B394" s="106" t="s">
        <v>51</v>
      </c>
      <c r="C394" s="103" t="s">
        <v>200</v>
      </c>
      <c r="D394" s="115" t="s">
        <v>191</v>
      </c>
      <c r="E394" s="103"/>
      <c r="F394" s="115"/>
      <c r="G394" s="135"/>
      <c r="H394" s="339">
        <f>H395</f>
        <v>2937</v>
      </c>
      <c r="I394" s="269"/>
    </row>
    <row r="395" spans="1:9" ht="15.75">
      <c r="A395" s="90" t="s">
        <v>134</v>
      </c>
      <c r="B395" s="43" t="s">
        <v>51</v>
      </c>
      <c r="C395" s="18" t="s">
        <v>200</v>
      </c>
      <c r="D395" s="30" t="s">
        <v>191</v>
      </c>
      <c r="E395" s="20" t="s">
        <v>294</v>
      </c>
      <c r="F395" s="30"/>
      <c r="G395" s="278"/>
      <c r="H395" s="339">
        <f>H396+H398</f>
        <v>2937</v>
      </c>
      <c r="I395" s="269"/>
    </row>
    <row r="396" spans="1:9" ht="15.75">
      <c r="A396" s="8" t="s">
        <v>137</v>
      </c>
      <c r="B396" s="43" t="s">
        <v>51</v>
      </c>
      <c r="C396" s="18" t="s">
        <v>200</v>
      </c>
      <c r="D396" s="30" t="s">
        <v>191</v>
      </c>
      <c r="E396" s="20" t="s">
        <v>323</v>
      </c>
      <c r="F396" s="7"/>
      <c r="G396" s="51"/>
      <c r="H396" s="339">
        <f>H397</f>
        <v>0</v>
      </c>
      <c r="I396" s="269"/>
    </row>
    <row r="397" spans="1:9" ht="15.75">
      <c r="A397" s="27" t="s">
        <v>146</v>
      </c>
      <c r="B397" s="43" t="s">
        <v>51</v>
      </c>
      <c r="C397" s="18" t="s">
        <v>200</v>
      </c>
      <c r="D397" s="30" t="s">
        <v>191</v>
      </c>
      <c r="E397" s="20" t="s">
        <v>323</v>
      </c>
      <c r="F397" s="7"/>
      <c r="G397" s="51" t="s">
        <v>278</v>
      </c>
      <c r="H397" s="339">
        <f>808-808</f>
        <v>0</v>
      </c>
      <c r="I397" s="269"/>
    </row>
    <row r="398" spans="1:9" s="48" customFormat="1" ht="15.75">
      <c r="A398" s="8" t="s">
        <v>325</v>
      </c>
      <c r="B398" s="43" t="s">
        <v>51</v>
      </c>
      <c r="C398" s="18" t="s">
        <v>200</v>
      </c>
      <c r="D398" s="30" t="s">
        <v>191</v>
      </c>
      <c r="E398" s="20" t="s">
        <v>326</v>
      </c>
      <c r="F398" s="7"/>
      <c r="G398" s="51"/>
      <c r="H398" s="339">
        <f>H399</f>
        <v>2937</v>
      </c>
      <c r="I398" s="269"/>
    </row>
    <row r="399" spans="1:9" s="48" customFormat="1" ht="15.75">
      <c r="A399" s="27" t="s">
        <v>146</v>
      </c>
      <c r="B399" s="43" t="s">
        <v>51</v>
      </c>
      <c r="C399" s="18" t="s">
        <v>200</v>
      </c>
      <c r="D399" s="30" t="s">
        <v>191</v>
      </c>
      <c r="E399" s="20" t="s">
        <v>326</v>
      </c>
      <c r="F399" s="7"/>
      <c r="G399" s="51" t="s">
        <v>278</v>
      </c>
      <c r="H399" s="339">
        <f>1300+1437+200</f>
        <v>2937</v>
      </c>
      <c r="I399" s="269"/>
    </row>
    <row r="400" spans="1:9" s="48" customFormat="1" ht="15.75">
      <c r="A400" s="208" t="s">
        <v>43</v>
      </c>
      <c r="B400" s="205" t="s">
        <v>51</v>
      </c>
      <c r="C400" s="140" t="s">
        <v>205</v>
      </c>
      <c r="D400" s="32" t="s">
        <v>126</v>
      </c>
      <c r="E400" s="17"/>
      <c r="F400" s="99"/>
      <c r="G400" s="91"/>
      <c r="H400" s="340">
        <f>H401</f>
        <v>0</v>
      </c>
      <c r="I400" s="324"/>
    </row>
    <row r="401" spans="1:9" ht="15.75">
      <c r="A401" s="27" t="s">
        <v>44</v>
      </c>
      <c r="B401" s="42" t="s">
        <v>51</v>
      </c>
      <c r="C401" s="22" t="s">
        <v>205</v>
      </c>
      <c r="D401" s="29" t="s">
        <v>200</v>
      </c>
      <c r="E401" s="22"/>
      <c r="F401" s="29"/>
      <c r="G401" s="94"/>
      <c r="H401" s="338">
        <f>H402</f>
        <v>0</v>
      </c>
      <c r="I401" s="325"/>
    </row>
    <row r="402" spans="1:9" ht="15.75">
      <c r="A402" s="8" t="s">
        <v>131</v>
      </c>
      <c r="B402" s="43" t="s">
        <v>51</v>
      </c>
      <c r="C402" s="18" t="s">
        <v>205</v>
      </c>
      <c r="D402" s="30" t="s">
        <v>200</v>
      </c>
      <c r="E402" s="18" t="s">
        <v>132</v>
      </c>
      <c r="F402" s="30"/>
      <c r="G402" s="85"/>
      <c r="H402" s="338">
        <f>H403</f>
        <v>0</v>
      </c>
      <c r="I402" s="325"/>
    </row>
    <row r="403" spans="1:9" ht="26.25">
      <c r="A403" s="109" t="s">
        <v>369</v>
      </c>
      <c r="B403" s="44" t="s">
        <v>51</v>
      </c>
      <c r="C403" s="20" t="s">
        <v>205</v>
      </c>
      <c r="D403" s="31" t="s">
        <v>200</v>
      </c>
      <c r="E403" s="20" t="s">
        <v>262</v>
      </c>
      <c r="F403" s="31"/>
      <c r="G403" s="87"/>
      <c r="H403" s="338">
        <f>H404</f>
        <v>0</v>
      </c>
      <c r="I403" s="325"/>
    </row>
    <row r="404" spans="1:9" ht="15.75">
      <c r="A404" s="27" t="s">
        <v>341</v>
      </c>
      <c r="B404" s="44" t="s">
        <v>51</v>
      </c>
      <c r="C404" s="18" t="s">
        <v>205</v>
      </c>
      <c r="D404" s="30" t="s">
        <v>200</v>
      </c>
      <c r="E404" s="18" t="s">
        <v>262</v>
      </c>
      <c r="F404" s="31"/>
      <c r="G404" s="51" t="s">
        <v>4</v>
      </c>
      <c r="H404" s="338">
        <f>500-500</f>
        <v>0</v>
      </c>
      <c r="I404" s="325"/>
    </row>
    <row r="405" spans="1:9" s="23" customFormat="1" ht="15.75">
      <c r="A405" s="114" t="s">
        <v>34</v>
      </c>
      <c r="B405" s="105" t="s">
        <v>51</v>
      </c>
      <c r="C405" s="17" t="s">
        <v>195</v>
      </c>
      <c r="D405" s="32" t="s">
        <v>186</v>
      </c>
      <c r="E405" s="17"/>
      <c r="F405" s="32"/>
      <c r="G405" s="127"/>
      <c r="H405" s="340">
        <f>H406+H409</f>
        <v>502.9</v>
      </c>
      <c r="I405" s="324"/>
    </row>
    <row r="406" spans="1:9" ht="27" customHeight="1">
      <c r="A406" s="47" t="s">
        <v>100</v>
      </c>
      <c r="B406" s="43" t="s">
        <v>51</v>
      </c>
      <c r="C406" s="22" t="s">
        <v>195</v>
      </c>
      <c r="D406" s="29" t="s">
        <v>186</v>
      </c>
      <c r="E406" s="18" t="s">
        <v>39</v>
      </c>
      <c r="F406" s="30"/>
      <c r="G406" s="85"/>
      <c r="H406" s="339">
        <f>H407</f>
        <v>2.9</v>
      </c>
      <c r="I406" s="269"/>
    </row>
    <row r="407" spans="1:9" ht="26.25">
      <c r="A407" s="46" t="s">
        <v>101</v>
      </c>
      <c r="B407" s="43" t="s">
        <v>51</v>
      </c>
      <c r="C407" s="22" t="s">
        <v>195</v>
      </c>
      <c r="D407" s="29" t="s">
        <v>186</v>
      </c>
      <c r="E407" s="18" t="s">
        <v>226</v>
      </c>
      <c r="F407" s="30"/>
      <c r="G407" s="113"/>
      <c r="H407" s="339">
        <f>H408</f>
        <v>2.9</v>
      </c>
      <c r="I407" s="269"/>
    </row>
    <row r="408" spans="1:9" ht="15.75">
      <c r="A408" s="8" t="s">
        <v>172</v>
      </c>
      <c r="B408" s="43" t="s">
        <v>51</v>
      </c>
      <c r="C408" s="18" t="s">
        <v>195</v>
      </c>
      <c r="D408" s="30" t="s">
        <v>186</v>
      </c>
      <c r="E408" s="18" t="s">
        <v>226</v>
      </c>
      <c r="F408" s="30"/>
      <c r="G408" s="85" t="s">
        <v>86</v>
      </c>
      <c r="H408" s="339">
        <f>700-700+2.9</f>
        <v>2.9</v>
      </c>
      <c r="I408" s="269"/>
    </row>
    <row r="409" spans="1:9" ht="15.75">
      <c r="A409" s="25" t="s">
        <v>131</v>
      </c>
      <c r="B409" s="43" t="s">
        <v>51</v>
      </c>
      <c r="C409" s="22" t="s">
        <v>195</v>
      </c>
      <c r="D409" s="29" t="s">
        <v>186</v>
      </c>
      <c r="E409" s="18" t="s">
        <v>132</v>
      </c>
      <c r="F409" s="30"/>
      <c r="G409" s="85"/>
      <c r="H409" s="339">
        <f>H410</f>
        <v>500</v>
      </c>
      <c r="I409" s="269"/>
    </row>
    <row r="410" spans="1:9" ht="27" thickBot="1">
      <c r="A410" s="109" t="s">
        <v>253</v>
      </c>
      <c r="B410" s="43" t="s">
        <v>51</v>
      </c>
      <c r="C410" s="22" t="s">
        <v>195</v>
      </c>
      <c r="D410" s="29" t="s">
        <v>186</v>
      </c>
      <c r="E410" s="18" t="s">
        <v>252</v>
      </c>
      <c r="F410" s="30"/>
      <c r="G410" s="85"/>
      <c r="H410" s="402">
        <f>H411</f>
        <v>500</v>
      </c>
      <c r="I410" s="269"/>
    </row>
    <row r="411" spans="1:9" ht="27" thickBot="1">
      <c r="A411" s="109" t="s">
        <v>346</v>
      </c>
      <c r="B411" s="43" t="s">
        <v>51</v>
      </c>
      <c r="C411" s="22" t="s">
        <v>195</v>
      </c>
      <c r="D411" s="29" t="s">
        <v>186</v>
      </c>
      <c r="E411" s="18" t="s">
        <v>252</v>
      </c>
      <c r="F411" s="30"/>
      <c r="G411" s="85" t="s">
        <v>347</v>
      </c>
      <c r="H411" s="323">
        <f>700-200</f>
        <v>500</v>
      </c>
      <c r="I411" s="311"/>
    </row>
    <row r="412" spans="1:9" ht="32.25" thickBot="1">
      <c r="A412" s="428" t="s">
        <v>120</v>
      </c>
      <c r="B412" s="28" t="s">
        <v>87</v>
      </c>
      <c r="C412" s="21"/>
      <c r="D412" s="13"/>
      <c r="E412" s="21"/>
      <c r="F412" s="13"/>
      <c r="G412" s="55"/>
      <c r="H412" s="322">
        <f>H413+H428</f>
        <v>27463.100000000002</v>
      </c>
      <c r="I412" s="39">
        <f>I413+I428</f>
        <v>0</v>
      </c>
    </row>
    <row r="413" spans="1:9" ht="15.75">
      <c r="A413" s="114" t="s">
        <v>6</v>
      </c>
      <c r="B413" s="105" t="s">
        <v>87</v>
      </c>
      <c r="C413" s="17" t="s">
        <v>194</v>
      </c>
      <c r="D413" s="32" t="s">
        <v>126</v>
      </c>
      <c r="E413" s="17"/>
      <c r="F413" s="99"/>
      <c r="G413" s="91"/>
      <c r="H413" s="338">
        <f>H414+H418</f>
        <v>6555.400000000001</v>
      </c>
      <c r="I413" s="37">
        <f>I414+I418</f>
        <v>0</v>
      </c>
    </row>
    <row r="414" spans="1:9" ht="15.75">
      <c r="A414" s="8" t="s">
        <v>9</v>
      </c>
      <c r="B414" s="42" t="s">
        <v>87</v>
      </c>
      <c r="C414" s="18" t="s">
        <v>194</v>
      </c>
      <c r="D414" s="29" t="s">
        <v>187</v>
      </c>
      <c r="E414" s="22"/>
      <c r="F414" s="29"/>
      <c r="G414" s="94"/>
      <c r="H414" s="340">
        <f aca="true" t="shared" si="20" ref="H414:I416">H415</f>
        <v>2217.3</v>
      </c>
      <c r="I414" s="88">
        <f t="shared" si="20"/>
        <v>0</v>
      </c>
    </row>
    <row r="415" spans="1:9" ht="15.75">
      <c r="A415" s="33" t="s">
        <v>31</v>
      </c>
      <c r="B415" s="16" t="s">
        <v>87</v>
      </c>
      <c r="C415" s="18" t="s">
        <v>194</v>
      </c>
      <c r="D415" s="29" t="s">
        <v>187</v>
      </c>
      <c r="E415" s="15" t="s">
        <v>32</v>
      </c>
      <c r="F415" s="10"/>
      <c r="G415" s="85"/>
      <c r="H415" s="338">
        <f t="shared" si="20"/>
        <v>2217.3</v>
      </c>
      <c r="I415" s="37">
        <f t="shared" si="20"/>
        <v>0</v>
      </c>
    </row>
    <row r="416" spans="1:9" ht="15.75">
      <c r="A416" s="26" t="s">
        <v>27</v>
      </c>
      <c r="B416" s="44" t="s">
        <v>87</v>
      </c>
      <c r="C416" s="18" t="s">
        <v>194</v>
      </c>
      <c r="D416" s="29" t="s">
        <v>187</v>
      </c>
      <c r="E416" s="20" t="s">
        <v>212</v>
      </c>
      <c r="F416" s="10"/>
      <c r="G416" s="58"/>
      <c r="H416" s="339">
        <f t="shared" si="20"/>
        <v>2217.3</v>
      </c>
      <c r="I416" s="38">
        <f t="shared" si="20"/>
        <v>0</v>
      </c>
    </row>
    <row r="417" spans="1:9" ht="15.75">
      <c r="A417" s="8" t="s">
        <v>172</v>
      </c>
      <c r="B417" s="44" t="s">
        <v>87</v>
      </c>
      <c r="C417" s="18" t="s">
        <v>194</v>
      </c>
      <c r="D417" s="29" t="s">
        <v>187</v>
      </c>
      <c r="E417" s="20" t="s">
        <v>212</v>
      </c>
      <c r="F417" s="10"/>
      <c r="G417" s="85" t="s">
        <v>86</v>
      </c>
      <c r="H417" s="339">
        <f>2335-117.7</f>
        <v>2217.3</v>
      </c>
      <c r="I417" s="269"/>
    </row>
    <row r="418" spans="1:9" ht="15.75">
      <c r="A418" s="25" t="s">
        <v>29</v>
      </c>
      <c r="B418" s="43" t="s">
        <v>87</v>
      </c>
      <c r="C418" s="22" t="s">
        <v>194</v>
      </c>
      <c r="D418" s="30" t="s">
        <v>194</v>
      </c>
      <c r="E418" s="18"/>
      <c r="F418" s="30"/>
      <c r="G418" s="85"/>
      <c r="H418" s="339">
        <f>H419+H422+H425</f>
        <v>4338.1</v>
      </c>
      <c r="I418" s="38">
        <f>I419+I422+I425</f>
        <v>0</v>
      </c>
    </row>
    <row r="419" spans="1:9" ht="15.75">
      <c r="A419" s="25" t="s">
        <v>92</v>
      </c>
      <c r="B419" s="43" t="s">
        <v>87</v>
      </c>
      <c r="C419" s="22" t="s">
        <v>194</v>
      </c>
      <c r="D419" s="30" t="s">
        <v>194</v>
      </c>
      <c r="E419" s="18" t="s">
        <v>93</v>
      </c>
      <c r="F419" s="30"/>
      <c r="G419" s="85"/>
      <c r="H419" s="339">
        <f>H420</f>
        <v>3412.7</v>
      </c>
      <c r="I419" s="38">
        <f>I420</f>
        <v>0</v>
      </c>
    </row>
    <row r="420" spans="1:9" ht="15.75">
      <c r="A420" s="26" t="s">
        <v>94</v>
      </c>
      <c r="B420" s="43" t="s">
        <v>87</v>
      </c>
      <c r="C420" s="22" t="s">
        <v>194</v>
      </c>
      <c r="D420" s="30" t="s">
        <v>194</v>
      </c>
      <c r="E420" s="18" t="s">
        <v>214</v>
      </c>
      <c r="F420" s="30"/>
      <c r="G420" s="113"/>
      <c r="H420" s="339">
        <f>H421</f>
        <v>3412.7</v>
      </c>
      <c r="I420" s="38">
        <f>I421</f>
        <v>0</v>
      </c>
    </row>
    <row r="421" spans="1:9" ht="15.75">
      <c r="A421" s="8" t="s">
        <v>172</v>
      </c>
      <c r="B421" s="43" t="s">
        <v>87</v>
      </c>
      <c r="C421" s="22" t="s">
        <v>194</v>
      </c>
      <c r="D421" s="30" t="s">
        <v>194</v>
      </c>
      <c r="E421" s="18" t="s">
        <v>214</v>
      </c>
      <c r="F421" s="30" t="s">
        <v>15</v>
      </c>
      <c r="G421" s="85" t="s">
        <v>86</v>
      </c>
      <c r="H421" s="339">
        <f>3702.6-289.9</f>
        <v>3412.7</v>
      </c>
      <c r="I421" s="269"/>
    </row>
    <row r="422" spans="1:9" ht="15.75">
      <c r="A422" s="47" t="s">
        <v>215</v>
      </c>
      <c r="B422" s="44" t="s">
        <v>87</v>
      </c>
      <c r="C422" s="22" t="s">
        <v>194</v>
      </c>
      <c r="D422" s="31" t="s">
        <v>194</v>
      </c>
      <c r="E422" s="20" t="s">
        <v>30</v>
      </c>
      <c r="F422" s="10"/>
      <c r="G422" s="85"/>
      <c r="H422" s="339">
        <f>H423</f>
        <v>530</v>
      </c>
      <c r="I422" s="38">
        <f>I423</f>
        <v>0</v>
      </c>
    </row>
    <row r="423" spans="1:9" ht="15.75">
      <c r="A423" s="26" t="s">
        <v>254</v>
      </c>
      <c r="B423" s="44" t="s">
        <v>87</v>
      </c>
      <c r="C423" s="22" t="s">
        <v>194</v>
      </c>
      <c r="D423" s="31" t="s">
        <v>194</v>
      </c>
      <c r="E423" s="20" t="s">
        <v>217</v>
      </c>
      <c r="F423" s="10"/>
      <c r="G423" s="57"/>
      <c r="H423" s="339">
        <f>H424</f>
        <v>530</v>
      </c>
      <c r="I423" s="38">
        <f>I424</f>
        <v>0</v>
      </c>
    </row>
    <row r="424" spans="1:9" ht="15.75">
      <c r="A424" s="8" t="s">
        <v>172</v>
      </c>
      <c r="B424" s="44" t="s">
        <v>87</v>
      </c>
      <c r="C424" s="22" t="s">
        <v>194</v>
      </c>
      <c r="D424" s="31" t="s">
        <v>194</v>
      </c>
      <c r="E424" s="20" t="s">
        <v>217</v>
      </c>
      <c r="F424" s="10"/>
      <c r="G424" s="85" t="s">
        <v>86</v>
      </c>
      <c r="H424" s="339">
        <f>500+30</f>
        <v>530</v>
      </c>
      <c r="I424" s="269"/>
    </row>
    <row r="425" spans="1:9" ht="15.75">
      <c r="A425" s="25" t="s">
        <v>131</v>
      </c>
      <c r="B425" s="44" t="s">
        <v>87</v>
      </c>
      <c r="C425" s="22" t="s">
        <v>194</v>
      </c>
      <c r="D425" s="31" t="s">
        <v>194</v>
      </c>
      <c r="E425" s="20" t="s">
        <v>132</v>
      </c>
      <c r="F425" s="10"/>
      <c r="G425" s="113"/>
      <c r="H425" s="339">
        <f>H426</f>
        <v>395.4000000000001</v>
      </c>
      <c r="I425" s="38">
        <f>I426</f>
        <v>0</v>
      </c>
    </row>
    <row r="426" spans="1:9" ht="26.25">
      <c r="A426" s="109" t="s">
        <v>255</v>
      </c>
      <c r="B426" s="44" t="s">
        <v>87</v>
      </c>
      <c r="C426" s="22" t="s">
        <v>194</v>
      </c>
      <c r="D426" s="31" t="s">
        <v>194</v>
      </c>
      <c r="E426" s="20" t="s">
        <v>256</v>
      </c>
      <c r="F426" s="10"/>
      <c r="G426" s="113"/>
      <c r="H426" s="339">
        <f>H427</f>
        <v>395.4000000000001</v>
      </c>
      <c r="I426" s="38">
        <f>I427</f>
        <v>0</v>
      </c>
    </row>
    <row r="427" spans="1:9" ht="15.75">
      <c r="A427" s="27" t="s">
        <v>146</v>
      </c>
      <c r="B427" s="44" t="s">
        <v>87</v>
      </c>
      <c r="C427" s="22" t="s">
        <v>194</v>
      </c>
      <c r="D427" s="31" t="s">
        <v>194</v>
      </c>
      <c r="E427" s="20" t="s">
        <v>221</v>
      </c>
      <c r="F427" s="10"/>
      <c r="G427" s="113" t="s">
        <v>278</v>
      </c>
      <c r="H427" s="339">
        <f>1295.4-500-400</f>
        <v>395.4000000000001</v>
      </c>
      <c r="I427" s="269"/>
    </row>
    <row r="428" spans="1:9" ht="15.75">
      <c r="A428" s="120" t="s">
        <v>257</v>
      </c>
      <c r="B428" s="106" t="s">
        <v>87</v>
      </c>
      <c r="C428" s="103" t="s">
        <v>192</v>
      </c>
      <c r="D428" s="115" t="s">
        <v>126</v>
      </c>
      <c r="E428" s="103"/>
      <c r="F428" s="101"/>
      <c r="G428" s="95"/>
      <c r="H428" s="400">
        <f>H429+H439</f>
        <v>20907.7</v>
      </c>
      <c r="I428" s="84">
        <f>I429+I439</f>
        <v>0</v>
      </c>
    </row>
    <row r="429" spans="1:9" ht="15.75">
      <c r="A429" s="114" t="s">
        <v>230</v>
      </c>
      <c r="B429" s="105" t="s">
        <v>87</v>
      </c>
      <c r="C429" s="17" t="s">
        <v>192</v>
      </c>
      <c r="D429" s="32" t="s">
        <v>195</v>
      </c>
      <c r="E429" s="17"/>
      <c r="F429" s="32"/>
      <c r="G429" s="127"/>
      <c r="H429" s="340">
        <f>H433+H436+H430</f>
        <v>12099.6</v>
      </c>
      <c r="I429" s="88">
        <f>I433+I436</f>
        <v>0</v>
      </c>
    </row>
    <row r="430" spans="1:9" ht="15.75">
      <c r="A430" s="291" t="s">
        <v>419</v>
      </c>
      <c r="B430" s="43" t="s">
        <v>87</v>
      </c>
      <c r="C430" s="43" t="s">
        <v>192</v>
      </c>
      <c r="D430" s="18" t="s">
        <v>195</v>
      </c>
      <c r="E430" s="18" t="s">
        <v>420</v>
      </c>
      <c r="F430" s="30"/>
      <c r="G430" s="85"/>
      <c r="H430" s="403">
        <f>H431</f>
        <v>535.2</v>
      </c>
      <c r="I430" s="88"/>
    </row>
    <row r="431" spans="1:9" ht="15.75">
      <c r="A431" s="291" t="s">
        <v>423</v>
      </c>
      <c r="B431" s="43" t="s">
        <v>87</v>
      </c>
      <c r="C431" s="43" t="s">
        <v>192</v>
      </c>
      <c r="D431" s="18" t="s">
        <v>195</v>
      </c>
      <c r="E431" s="18" t="s">
        <v>422</v>
      </c>
      <c r="F431" s="7"/>
      <c r="G431" s="57"/>
      <c r="H431" s="403">
        <f>H432</f>
        <v>535.2</v>
      </c>
      <c r="I431" s="88"/>
    </row>
    <row r="432" spans="1:9" ht="15.75">
      <c r="A432" s="271" t="s">
        <v>172</v>
      </c>
      <c r="B432" s="43" t="s">
        <v>87</v>
      </c>
      <c r="C432" s="43" t="s">
        <v>192</v>
      </c>
      <c r="D432" s="18" t="s">
        <v>195</v>
      </c>
      <c r="E432" s="18" t="s">
        <v>422</v>
      </c>
      <c r="F432" s="30"/>
      <c r="G432" s="85" t="s">
        <v>86</v>
      </c>
      <c r="H432" s="403">
        <f>35.2+500</f>
        <v>535.2</v>
      </c>
      <c r="I432" s="88"/>
    </row>
    <row r="433" spans="1:9" ht="15.75">
      <c r="A433" s="25" t="s">
        <v>78</v>
      </c>
      <c r="B433" s="43" t="s">
        <v>87</v>
      </c>
      <c r="C433" s="18" t="s">
        <v>192</v>
      </c>
      <c r="D433" s="30" t="s">
        <v>195</v>
      </c>
      <c r="E433" s="18" t="s">
        <v>79</v>
      </c>
      <c r="F433" s="30"/>
      <c r="G433" s="85"/>
      <c r="H433" s="339">
        <f>H434</f>
        <v>9530.5</v>
      </c>
      <c r="I433" s="38">
        <f>I434</f>
        <v>0</v>
      </c>
    </row>
    <row r="434" spans="1:9" ht="15.75">
      <c r="A434" s="26" t="s">
        <v>27</v>
      </c>
      <c r="B434" s="43" t="s">
        <v>87</v>
      </c>
      <c r="C434" s="18" t="s">
        <v>192</v>
      </c>
      <c r="D434" s="30" t="s">
        <v>195</v>
      </c>
      <c r="E434" s="18" t="s">
        <v>231</v>
      </c>
      <c r="F434" s="30"/>
      <c r="G434" s="57"/>
      <c r="H434" s="339">
        <f>H435</f>
        <v>9530.5</v>
      </c>
      <c r="I434" s="38">
        <f>I435</f>
        <v>0</v>
      </c>
    </row>
    <row r="435" spans="1:9" ht="15.75">
      <c r="A435" s="8" t="s">
        <v>172</v>
      </c>
      <c r="B435" s="43" t="s">
        <v>87</v>
      </c>
      <c r="C435" s="18" t="s">
        <v>192</v>
      </c>
      <c r="D435" s="30" t="s">
        <v>195</v>
      </c>
      <c r="E435" s="18" t="s">
        <v>231</v>
      </c>
      <c r="F435" s="30"/>
      <c r="G435" s="85" t="s">
        <v>86</v>
      </c>
      <c r="H435" s="339">
        <f>10915-1384.5</f>
        <v>9530.5</v>
      </c>
      <c r="I435" s="269"/>
    </row>
    <row r="436" spans="1:9" ht="13.5" customHeight="1">
      <c r="A436" s="25" t="s">
        <v>131</v>
      </c>
      <c r="B436" s="43" t="s">
        <v>87</v>
      </c>
      <c r="C436" s="18" t="s">
        <v>192</v>
      </c>
      <c r="D436" s="30" t="s">
        <v>195</v>
      </c>
      <c r="E436" s="18" t="s">
        <v>132</v>
      </c>
      <c r="F436" s="30"/>
      <c r="G436" s="85"/>
      <c r="H436" s="339">
        <f>H437</f>
        <v>2033.9</v>
      </c>
      <c r="I436" s="38">
        <f>I437</f>
        <v>0</v>
      </c>
    </row>
    <row r="437" spans="1:9" s="23" customFormat="1" ht="26.25">
      <c r="A437" s="109" t="s">
        <v>366</v>
      </c>
      <c r="B437" s="43" t="s">
        <v>87</v>
      </c>
      <c r="C437" s="18" t="s">
        <v>192</v>
      </c>
      <c r="D437" s="30" t="s">
        <v>195</v>
      </c>
      <c r="E437" s="18" t="s">
        <v>258</v>
      </c>
      <c r="F437" s="30"/>
      <c r="G437" s="85"/>
      <c r="H437" s="339">
        <f>H438</f>
        <v>2033.9</v>
      </c>
      <c r="I437" s="38">
        <f>I438</f>
        <v>0</v>
      </c>
    </row>
    <row r="438" spans="1:9" ht="15.75">
      <c r="A438" s="27" t="s">
        <v>146</v>
      </c>
      <c r="B438" s="43" t="s">
        <v>87</v>
      </c>
      <c r="C438" s="18" t="s">
        <v>192</v>
      </c>
      <c r="D438" s="30" t="s">
        <v>195</v>
      </c>
      <c r="E438" s="18" t="s">
        <v>258</v>
      </c>
      <c r="F438" s="30"/>
      <c r="G438" s="85" t="s">
        <v>278</v>
      </c>
      <c r="H438" s="339">
        <f>3469+64.9-2000+500</f>
        <v>2033.9</v>
      </c>
      <c r="I438" s="269"/>
    </row>
    <row r="439" spans="1:9" ht="15.75">
      <c r="A439" s="120" t="s">
        <v>45</v>
      </c>
      <c r="B439" s="106" t="s">
        <v>87</v>
      </c>
      <c r="C439" s="103" t="s">
        <v>192</v>
      </c>
      <c r="D439" s="115" t="s">
        <v>193</v>
      </c>
      <c r="E439" s="103"/>
      <c r="F439" s="115"/>
      <c r="G439" s="125"/>
      <c r="H439" s="400">
        <f aca="true" t="shared" si="21" ref="H439:I441">H440</f>
        <v>8808.1</v>
      </c>
      <c r="I439" s="84">
        <f t="shared" si="21"/>
        <v>0</v>
      </c>
    </row>
    <row r="440" spans="1:9" ht="15.75">
      <c r="A440" s="47" t="s">
        <v>147</v>
      </c>
      <c r="B440" s="43" t="s">
        <v>87</v>
      </c>
      <c r="C440" s="18" t="s">
        <v>192</v>
      </c>
      <c r="D440" s="30" t="s">
        <v>193</v>
      </c>
      <c r="E440" s="18" t="s">
        <v>277</v>
      </c>
      <c r="F440" s="30"/>
      <c r="G440" s="85"/>
      <c r="H440" s="339">
        <f t="shared" si="21"/>
        <v>8808.1</v>
      </c>
      <c r="I440" s="38">
        <f t="shared" si="21"/>
        <v>0</v>
      </c>
    </row>
    <row r="441" spans="1:9" ht="15.75">
      <c r="A441" s="27" t="s">
        <v>50</v>
      </c>
      <c r="B441" s="43" t="s">
        <v>87</v>
      </c>
      <c r="C441" s="18" t="s">
        <v>192</v>
      </c>
      <c r="D441" s="30" t="s">
        <v>193</v>
      </c>
      <c r="E441" s="18" t="s">
        <v>279</v>
      </c>
      <c r="F441" s="7"/>
      <c r="G441" s="85"/>
      <c r="H441" s="339">
        <f t="shared" si="21"/>
        <v>8808.1</v>
      </c>
      <c r="I441" s="38">
        <f t="shared" si="21"/>
        <v>0</v>
      </c>
    </row>
    <row r="442" spans="1:9" ht="16.5" thickBot="1">
      <c r="A442" s="27" t="s">
        <v>146</v>
      </c>
      <c r="B442" s="44" t="s">
        <v>87</v>
      </c>
      <c r="C442" s="20" t="s">
        <v>192</v>
      </c>
      <c r="D442" s="31" t="s">
        <v>193</v>
      </c>
      <c r="E442" s="20" t="s">
        <v>279</v>
      </c>
      <c r="F442" s="5"/>
      <c r="G442" s="52" t="s">
        <v>278</v>
      </c>
      <c r="H442" s="320">
        <f>11416.6-312-641.8-1654.7</f>
        <v>8808.1</v>
      </c>
      <c r="I442" s="268"/>
    </row>
    <row r="443" spans="1:9" ht="16.5" thickBot="1">
      <c r="A443" s="428" t="s">
        <v>121</v>
      </c>
      <c r="B443" s="28" t="s">
        <v>88</v>
      </c>
      <c r="C443" s="21"/>
      <c r="D443" s="13"/>
      <c r="E443" s="21"/>
      <c r="F443" s="13"/>
      <c r="G443" s="55"/>
      <c r="H443" s="337">
        <f>H444+H452+H462</f>
        <v>71875</v>
      </c>
      <c r="I443" s="144">
        <f>I444+I452+I462</f>
        <v>28366</v>
      </c>
    </row>
    <row r="444" spans="1:9" s="23" customFormat="1" ht="15.75">
      <c r="A444" s="114" t="s">
        <v>17</v>
      </c>
      <c r="B444" s="105" t="s">
        <v>88</v>
      </c>
      <c r="C444" s="260" t="s">
        <v>186</v>
      </c>
      <c r="D444" s="409" t="s">
        <v>126</v>
      </c>
      <c r="E444" s="260"/>
      <c r="F444" s="32"/>
      <c r="G444" s="407"/>
      <c r="H444" s="40">
        <f>H445</f>
        <v>37219.7</v>
      </c>
      <c r="I444" s="40">
        <f>I445</f>
        <v>0</v>
      </c>
    </row>
    <row r="445" spans="1:9" ht="15.75">
      <c r="A445" s="27" t="s">
        <v>80</v>
      </c>
      <c r="B445" s="42" t="s">
        <v>88</v>
      </c>
      <c r="C445" s="22" t="s">
        <v>186</v>
      </c>
      <c r="D445" s="42" t="s">
        <v>190</v>
      </c>
      <c r="E445" s="22"/>
      <c r="F445" s="29"/>
      <c r="G445" s="94"/>
      <c r="H445" s="37">
        <f>H446+H449</f>
        <v>37219.7</v>
      </c>
      <c r="I445" s="37">
        <f>I446+I449</f>
        <v>0</v>
      </c>
    </row>
    <row r="446" spans="1:9" ht="39">
      <c r="A446" s="68" t="s">
        <v>301</v>
      </c>
      <c r="B446" s="43" t="s">
        <v>88</v>
      </c>
      <c r="C446" s="18" t="s">
        <v>186</v>
      </c>
      <c r="D446" s="43" t="s">
        <v>190</v>
      </c>
      <c r="E446" s="18" t="s">
        <v>277</v>
      </c>
      <c r="F446" s="30"/>
      <c r="G446" s="85"/>
      <c r="H446" s="38">
        <f>H447</f>
        <v>13565.3</v>
      </c>
      <c r="I446" s="38">
        <f>I447</f>
        <v>0</v>
      </c>
    </row>
    <row r="447" spans="1:9" ht="15.75">
      <c r="A447" s="8" t="s">
        <v>50</v>
      </c>
      <c r="B447" s="44" t="s">
        <v>88</v>
      </c>
      <c r="C447" s="20" t="s">
        <v>186</v>
      </c>
      <c r="D447" s="44" t="s">
        <v>190</v>
      </c>
      <c r="E447" s="20" t="s">
        <v>279</v>
      </c>
      <c r="F447" s="31"/>
      <c r="G447" s="319"/>
      <c r="H447" s="36">
        <f>H448</f>
        <v>13565.3</v>
      </c>
      <c r="I447" s="268"/>
    </row>
    <row r="448" spans="1:9" ht="15.75">
      <c r="A448" s="27" t="s">
        <v>146</v>
      </c>
      <c r="B448" s="44" t="s">
        <v>88</v>
      </c>
      <c r="C448" s="20" t="s">
        <v>186</v>
      </c>
      <c r="D448" s="44" t="s">
        <v>190</v>
      </c>
      <c r="E448" s="20" t="s">
        <v>279</v>
      </c>
      <c r="F448" s="31"/>
      <c r="G448" s="319" t="s">
        <v>278</v>
      </c>
      <c r="H448" s="36">
        <f>21789.8-629-1000-1194.8-1045.7-4355</f>
        <v>13565.3</v>
      </c>
      <c r="I448" s="268"/>
    </row>
    <row r="449" spans="1:9" ht="26.25">
      <c r="A449" s="47" t="s">
        <v>204</v>
      </c>
      <c r="B449" s="43" t="s">
        <v>88</v>
      </c>
      <c r="C449" s="18" t="s">
        <v>186</v>
      </c>
      <c r="D449" s="43" t="s">
        <v>190</v>
      </c>
      <c r="E449" s="18" t="s">
        <v>138</v>
      </c>
      <c r="F449" s="30"/>
      <c r="G449" s="85"/>
      <c r="H449" s="38">
        <f>H450</f>
        <v>23654.4</v>
      </c>
      <c r="I449" s="38">
        <f>I450</f>
        <v>0</v>
      </c>
    </row>
    <row r="450" spans="1:9" ht="15.75">
      <c r="A450" s="90" t="s">
        <v>77</v>
      </c>
      <c r="B450" s="43" t="s">
        <v>88</v>
      </c>
      <c r="C450" s="18" t="s">
        <v>186</v>
      </c>
      <c r="D450" s="43" t="s">
        <v>190</v>
      </c>
      <c r="E450" s="18" t="s">
        <v>203</v>
      </c>
      <c r="F450" s="30"/>
      <c r="G450" s="85"/>
      <c r="H450" s="38">
        <f>H451</f>
        <v>23654.4</v>
      </c>
      <c r="I450" s="38">
        <f>I451</f>
        <v>0</v>
      </c>
    </row>
    <row r="451" spans="1:9" ht="15.75">
      <c r="A451" s="8" t="s">
        <v>146</v>
      </c>
      <c r="B451" s="44" t="s">
        <v>88</v>
      </c>
      <c r="C451" s="20" t="s">
        <v>186</v>
      </c>
      <c r="D451" s="44" t="s">
        <v>190</v>
      </c>
      <c r="E451" s="20" t="s">
        <v>203</v>
      </c>
      <c r="F451" s="31" t="s">
        <v>49</v>
      </c>
      <c r="G451" s="85" t="s">
        <v>278</v>
      </c>
      <c r="H451" s="38">
        <f>2000+25925-484+1463.4-2000-1354.8-1895.2</f>
        <v>23654.4</v>
      </c>
      <c r="I451" s="269"/>
    </row>
    <row r="452" spans="1:9" ht="15.75">
      <c r="A452" s="120" t="s">
        <v>23</v>
      </c>
      <c r="B452" s="106" t="s">
        <v>88</v>
      </c>
      <c r="C452" s="103" t="s">
        <v>200</v>
      </c>
      <c r="D452" s="106" t="s">
        <v>126</v>
      </c>
      <c r="E452" s="103"/>
      <c r="F452" s="115"/>
      <c r="G452" s="125"/>
      <c r="H452" s="84">
        <f>H453+H457</f>
        <v>1385.2999999999997</v>
      </c>
      <c r="I452" s="84">
        <f>I453</f>
        <v>0</v>
      </c>
    </row>
    <row r="453" spans="1:9" ht="15.75">
      <c r="A453" s="27" t="s">
        <v>70</v>
      </c>
      <c r="B453" s="42" t="s">
        <v>88</v>
      </c>
      <c r="C453" s="22" t="s">
        <v>200</v>
      </c>
      <c r="D453" s="42" t="s">
        <v>186</v>
      </c>
      <c r="E453" s="22"/>
      <c r="F453" s="29"/>
      <c r="G453" s="94"/>
      <c r="H453" s="37">
        <f>H454</f>
        <v>1185.2999999999997</v>
      </c>
      <c r="I453" s="37">
        <f>I454</f>
        <v>0</v>
      </c>
    </row>
    <row r="454" spans="1:9" ht="15.75">
      <c r="A454" s="25" t="s">
        <v>24</v>
      </c>
      <c r="B454" s="43" t="s">
        <v>88</v>
      </c>
      <c r="C454" s="18" t="s">
        <v>200</v>
      </c>
      <c r="D454" s="43" t="s">
        <v>186</v>
      </c>
      <c r="E454" s="18" t="s">
        <v>25</v>
      </c>
      <c r="F454" s="30"/>
      <c r="G454" s="85"/>
      <c r="H454" s="38">
        <f>H455</f>
        <v>1185.2999999999997</v>
      </c>
      <c r="I454" s="38"/>
    </row>
    <row r="455" spans="1:9" ht="15.75">
      <c r="A455" s="47" t="s">
        <v>201</v>
      </c>
      <c r="B455" s="43" t="s">
        <v>88</v>
      </c>
      <c r="C455" s="18" t="s">
        <v>200</v>
      </c>
      <c r="D455" s="43" t="s">
        <v>186</v>
      </c>
      <c r="E455" s="18" t="s">
        <v>202</v>
      </c>
      <c r="F455" s="30"/>
      <c r="G455" s="85"/>
      <c r="H455" s="38">
        <f>H456</f>
        <v>1185.2999999999997</v>
      </c>
      <c r="I455" s="38"/>
    </row>
    <row r="456" spans="1:9" ht="19.5" customHeight="1">
      <c r="A456" s="70" t="s">
        <v>146</v>
      </c>
      <c r="B456" s="43" t="s">
        <v>88</v>
      </c>
      <c r="C456" s="18" t="s">
        <v>200</v>
      </c>
      <c r="D456" s="43" t="s">
        <v>186</v>
      </c>
      <c r="E456" s="18" t="s">
        <v>202</v>
      </c>
      <c r="F456" s="30"/>
      <c r="G456" s="85" t="s">
        <v>278</v>
      </c>
      <c r="H456" s="38">
        <f>1842.1-662+800+108.2-1000+97</f>
        <v>1185.2999999999997</v>
      </c>
      <c r="I456" s="38"/>
    </row>
    <row r="457" spans="1:9" ht="15.75">
      <c r="A457" s="114" t="s">
        <v>3</v>
      </c>
      <c r="B457" s="106" t="s">
        <v>88</v>
      </c>
      <c r="C457" s="103" t="s">
        <v>200</v>
      </c>
      <c r="D457" s="115" t="s">
        <v>187</v>
      </c>
      <c r="E457" s="18"/>
      <c r="F457" s="30"/>
      <c r="G457" s="85"/>
      <c r="H457" s="38">
        <f>H458</f>
        <v>200</v>
      </c>
      <c r="I457" s="38"/>
    </row>
    <row r="458" spans="1:9" ht="15.75">
      <c r="A458" s="25" t="s">
        <v>54</v>
      </c>
      <c r="B458" s="43" t="s">
        <v>88</v>
      </c>
      <c r="C458" s="18" t="s">
        <v>200</v>
      </c>
      <c r="D458" s="30" t="s">
        <v>187</v>
      </c>
      <c r="E458" s="18" t="s">
        <v>75</v>
      </c>
      <c r="F458" s="30"/>
      <c r="G458" s="85"/>
      <c r="H458" s="38">
        <f>H459</f>
        <v>200</v>
      </c>
      <c r="I458" s="38"/>
    </row>
    <row r="459" spans="1:9" ht="15.75">
      <c r="A459" s="25" t="s">
        <v>291</v>
      </c>
      <c r="B459" s="43" t="s">
        <v>88</v>
      </c>
      <c r="C459" s="18" t="s">
        <v>200</v>
      </c>
      <c r="D459" s="30" t="s">
        <v>187</v>
      </c>
      <c r="E459" s="18" t="s">
        <v>292</v>
      </c>
      <c r="F459" s="30"/>
      <c r="G459" s="85"/>
      <c r="H459" s="38">
        <f>H460</f>
        <v>200</v>
      </c>
      <c r="I459" s="38"/>
    </row>
    <row r="460" spans="1:9" ht="15.75">
      <c r="A460" s="25" t="s">
        <v>364</v>
      </c>
      <c r="B460" s="43" t="s">
        <v>88</v>
      </c>
      <c r="C460" s="18" t="s">
        <v>200</v>
      </c>
      <c r="D460" s="30" t="s">
        <v>187</v>
      </c>
      <c r="E460" s="18" t="s">
        <v>365</v>
      </c>
      <c r="F460" s="30"/>
      <c r="G460" s="85"/>
      <c r="H460" s="38">
        <f>H461</f>
        <v>200</v>
      </c>
      <c r="I460" s="38"/>
    </row>
    <row r="461" spans="1:9" ht="15.75">
      <c r="A461" s="8" t="s">
        <v>146</v>
      </c>
      <c r="B461" s="43" t="s">
        <v>88</v>
      </c>
      <c r="C461" s="18" t="s">
        <v>200</v>
      </c>
      <c r="D461" s="30" t="s">
        <v>187</v>
      </c>
      <c r="E461" s="18" t="s">
        <v>365</v>
      </c>
      <c r="F461" s="30"/>
      <c r="G461" s="85" t="s">
        <v>278</v>
      </c>
      <c r="H461" s="38">
        <v>200</v>
      </c>
      <c r="I461" s="38"/>
    </row>
    <row r="462" spans="1:9" ht="15.75">
      <c r="A462" s="8" t="s">
        <v>5</v>
      </c>
      <c r="B462" s="43" t="s">
        <v>88</v>
      </c>
      <c r="C462" s="18" t="s">
        <v>193</v>
      </c>
      <c r="D462" s="43" t="s">
        <v>126</v>
      </c>
      <c r="E462" s="18"/>
      <c r="F462" s="30"/>
      <c r="G462" s="85"/>
      <c r="H462" s="38">
        <f>H463</f>
        <v>33270</v>
      </c>
      <c r="I462" s="38">
        <f>I463</f>
        <v>28366</v>
      </c>
    </row>
    <row r="463" spans="1:9" ht="15.75">
      <c r="A463" s="8" t="s">
        <v>96</v>
      </c>
      <c r="B463" s="43" t="s">
        <v>88</v>
      </c>
      <c r="C463" s="18" t="s">
        <v>193</v>
      </c>
      <c r="D463" s="43" t="s">
        <v>191</v>
      </c>
      <c r="E463" s="18"/>
      <c r="F463" s="30"/>
      <c r="G463" s="85"/>
      <c r="H463" s="38">
        <f>H464</f>
        <v>33270</v>
      </c>
      <c r="I463" s="38">
        <f>I464</f>
        <v>28366</v>
      </c>
    </row>
    <row r="464" spans="1:9" ht="15.75">
      <c r="A464" s="269" t="s">
        <v>236</v>
      </c>
      <c r="B464" s="43" t="s">
        <v>88</v>
      </c>
      <c r="C464" s="18" t="s">
        <v>193</v>
      </c>
      <c r="D464" s="43" t="s">
        <v>191</v>
      </c>
      <c r="E464" s="18" t="s">
        <v>90</v>
      </c>
      <c r="F464" s="30"/>
      <c r="G464" s="85"/>
      <c r="H464" s="38">
        <f>H465+H467+H470+H469</f>
        <v>33270</v>
      </c>
      <c r="I464" s="38">
        <f>I465+I467+I470+I469</f>
        <v>28366</v>
      </c>
    </row>
    <row r="465" spans="1:9" ht="41.25" customHeight="1">
      <c r="A465" s="109" t="s">
        <v>412</v>
      </c>
      <c r="B465" s="43" t="s">
        <v>88</v>
      </c>
      <c r="C465" s="18" t="s">
        <v>193</v>
      </c>
      <c r="D465" s="43" t="s">
        <v>191</v>
      </c>
      <c r="E465" s="18" t="s">
        <v>413</v>
      </c>
      <c r="F465" s="30"/>
      <c r="G465" s="85"/>
      <c r="H465" s="38">
        <f>H466</f>
        <v>4904</v>
      </c>
      <c r="I465" s="38"/>
    </row>
    <row r="466" spans="1:9" ht="15.75">
      <c r="A466" s="8" t="s">
        <v>260</v>
      </c>
      <c r="B466" s="43" t="s">
        <v>88</v>
      </c>
      <c r="C466" s="18" t="s">
        <v>193</v>
      </c>
      <c r="D466" s="43" t="s">
        <v>191</v>
      </c>
      <c r="E466" s="18" t="s">
        <v>413</v>
      </c>
      <c r="F466" s="30" t="s">
        <v>51</v>
      </c>
      <c r="G466" s="85" t="s">
        <v>51</v>
      </c>
      <c r="H466" s="38">
        <f>4904</f>
        <v>4904</v>
      </c>
      <c r="I466" s="38"/>
    </row>
    <row r="467" spans="1:9" ht="40.5" customHeight="1">
      <c r="A467" s="109" t="s">
        <v>464</v>
      </c>
      <c r="B467" s="43" t="s">
        <v>88</v>
      </c>
      <c r="C467" s="18" t="s">
        <v>193</v>
      </c>
      <c r="D467" s="43" t="s">
        <v>191</v>
      </c>
      <c r="E467" s="18" t="s">
        <v>465</v>
      </c>
      <c r="F467" s="30"/>
      <c r="G467" s="85"/>
      <c r="H467" s="38">
        <f>H468</f>
        <v>21647</v>
      </c>
      <c r="I467" s="38">
        <f>I468</f>
        <v>21647</v>
      </c>
    </row>
    <row r="468" spans="1:9" ht="15.75">
      <c r="A468" s="8" t="s">
        <v>260</v>
      </c>
      <c r="B468" s="43" t="s">
        <v>88</v>
      </c>
      <c r="C468" s="18" t="s">
        <v>193</v>
      </c>
      <c r="D468" s="43" t="s">
        <v>191</v>
      </c>
      <c r="E468" s="18" t="s">
        <v>465</v>
      </c>
      <c r="F468" s="30"/>
      <c r="G468" s="85" t="s">
        <v>51</v>
      </c>
      <c r="H468" s="38">
        <v>21647</v>
      </c>
      <c r="I468" s="38">
        <v>21647</v>
      </c>
    </row>
    <row r="469" spans="1:9" ht="39">
      <c r="A469" s="109" t="s">
        <v>468</v>
      </c>
      <c r="B469" s="43" t="s">
        <v>88</v>
      </c>
      <c r="C469" s="18" t="s">
        <v>193</v>
      </c>
      <c r="D469" s="43" t="s">
        <v>191</v>
      </c>
      <c r="E469" s="18" t="s">
        <v>467</v>
      </c>
      <c r="F469" s="30"/>
      <c r="G469" s="85" t="s">
        <v>51</v>
      </c>
      <c r="H469" s="38">
        <v>1547</v>
      </c>
      <c r="I469" s="38">
        <v>1547</v>
      </c>
    </row>
    <row r="470" spans="1:9" ht="39">
      <c r="A470" s="109" t="s">
        <v>244</v>
      </c>
      <c r="B470" s="43" t="s">
        <v>88</v>
      </c>
      <c r="C470" s="18" t="s">
        <v>193</v>
      </c>
      <c r="D470" s="43" t="s">
        <v>191</v>
      </c>
      <c r="E470" s="18" t="s">
        <v>245</v>
      </c>
      <c r="F470" s="30"/>
      <c r="G470" s="85"/>
      <c r="H470" s="38">
        <f>H471</f>
        <v>5172</v>
      </c>
      <c r="I470" s="38">
        <f>I471</f>
        <v>5172</v>
      </c>
    </row>
    <row r="471" spans="1:9" ht="16.5" thickBot="1">
      <c r="A471" s="8" t="s">
        <v>209</v>
      </c>
      <c r="B471" s="43" t="s">
        <v>88</v>
      </c>
      <c r="C471" s="261" t="s">
        <v>193</v>
      </c>
      <c r="D471" s="43" t="s">
        <v>191</v>
      </c>
      <c r="E471" s="261" t="s">
        <v>245</v>
      </c>
      <c r="F471" s="30" t="s">
        <v>51</v>
      </c>
      <c r="G471" s="408" t="s">
        <v>67</v>
      </c>
      <c r="H471" s="270">
        <v>5172</v>
      </c>
      <c r="I471" s="399">
        <v>5172</v>
      </c>
    </row>
    <row r="472" spans="1:9" ht="16.5" thickBot="1">
      <c r="A472" s="143" t="s">
        <v>283</v>
      </c>
      <c r="B472" s="212" t="s">
        <v>284</v>
      </c>
      <c r="C472" s="212"/>
      <c r="D472" s="19"/>
      <c r="E472" s="259"/>
      <c r="F472" s="24"/>
      <c r="G472" s="218"/>
      <c r="H472" s="322">
        <f aca="true" t="shared" si="22" ref="H472:I474">H473</f>
        <v>20294.4</v>
      </c>
      <c r="I472" s="39">
        <f t="shared" si="22"/>
        <v>2925</v>
      </c>
    </row>
    <row r="473" spans="1:9" ht="15.75">
      <c r="A473" s="114" t="s">
        <v>115</v>
      </c>
      <c r="B473" s="105" t="s">
        <v>284</v>
      </c>
      <c r="C473" s="17" t="s">
        <v>191</v>
      </c>
      <c r="D473" s="215"/>
      <c r="E473" s="140"/>
      <c r="F473" s="141"/>
      <c r="G473" s="142"/>
      <c r="H473" s="338">
        <f>H474</f>
        <v>20294.4</v>
      </c>
      <c r="I473" s="37">
        <f>I474</f>
        <v>2925</v>
      </c>
    </row>
    <row r="474" spans="1:9" ht="15.75">
      <c r="A474" s="114" t="s">
        <v>20</v>
      </c>
      <c r="B474" s="105" t="s">
        <v>284</v>
      </c>
      <c r="C474" s="17" t="s">
        <v>191</v>
      </c>
      <c r="D474" s="32" t="s">
        <v>187</v>
      </c>
      <c r="E474" s="17"/>
      <c r="F474" s="32"/>
      <c r="G474" s="127"/>
      <c r="H474" s="339">
        <f t="shared" si="22"/>
        <v>20294.4</v>
      </c>
      <c r="I474" s="38">
        <f t="shared" si="22"/>
        <v>2925</v>
      </c>
    </row>
    <row r="475" spans="1:9" ht="18.75" customHeight="1">
      <c r="A475" s="25" t="s">
        <v>85</v>
      </c>
      <c r="B475" s="42" t="s">
        <v>285</v>
      </c>
      <c r="C475" s="22" t="s">
        <v>191</v>
      </c>
      <c r="D475" s="30" t="s">
        <v>187</v>
      </c>
      <c r="E475" s="18" t="s">
        <v>52</v>
      </c>
      <c r="F475" s="30"/>
      <c r="G475" s="85"/>
      <c r="H475" s="339">
        <f>H476+H478+H480+H485+H488</f>
        <v>20294.4</v>
      </c>
      <c r="I475" s="38">
        <f>I476+I478+I480+I483+I485+I488</f>
        <v>2925</v>
      </c>
    </row>
    <row r="476" spans="1:9" ht="42" customHeight="1">
      <c r="A476" s="109" t="s">
        <v>153</v>
      </c>
      <c r="B476" s="42" t="s">
        <v>284</v>
      </c>
      <c r="C476" s="22" t="s">
        <v>191</v>
      </c>
      <c r="D476" s="30" t="s">
        <v>187</v>
      </c>
      <c r="E476" s="18" t="s">
        <v>152</v>
      </c>
      <c r="F476" s="30"/>
      <c r="G476" s="57"/>
      <c r="H476" s="339">
        <f>H477</f>
        <v>2776.4</v>
      </c>
      <c r="I476" s="38">
        <f>I477</f>
        <v>2355</v>
      </c>
    </row>
    <row r="477" spans="1:9" s="23" customFormat="1" ht="26.25">
      <c r="A477" s="47" t="s">
        <v>154</v>
      </c>
      <c r="B477" s="42" t="s">
        <v>284</v>
      </c>
      <c r="C477" s="22" t="s">
        <v>191</v>
      </c>
      <c r="D477" s="30" t="s">
        <v>187</v>
      </c>
      <c r="E477" s="18" t="s">
        <v>152</v>
      </c>
      <c r="F477" s="30"/>
      <c r="G477" s="51" t="s">
        <v>129</v>
      </c>
      <c r="H477" s="339">
        <f>2776+421.4-421</f>
        <v>2776.4</v>
      </c>
      <c r="I477" s="38">
        <f>2776-421</f>
        <v>2355</v>
      </c>
    </row>
    <row r="478" spans="1:9" ht="15.75">
      <c r="A478" s="25" t="s">
        <v>155</v>
      </c>
      <c r="B478" s="42" t="s">
        <v>284</v>
      </c>
      <c r="C478" s="22" t="s">
        <v>191</v>
      </c>
      <c r="D478" s="30" t="s">
        <v>187</v>
      </c>
      <c r="E478" s="18" t="s">
        <v>156</v>
      </c>
      <c r="F478" s="7"/>
      <c r="G478" s="57"/>
      <c r="H478" s="339">
        <f>H479</f>
        <v>11427.6</v>
      </c>
      <c r="I478" s="38">
        <f>I479</f>
        <v>0</v>
      </c>
    </row>
    <row r="479" spans="1:9" ht="26.25">
      <c r="A479" s="47" t="s">
        <v>154</v>
      </c>
      <c r="B479" s="42" t="s">
        <v>284</v>
      </c>
      <c r="C479" s="22" t="s">
        <v>191</v>
      </c>
      <c r="D479" s="30" t="s">
        <v>187</v>
      </c>
      <c r="E479" s="18" t="s">
        <v>156</v>
      </c>
      <c r="F479" s="7"/>
      <c r="G479" s="51" t="s">
        <v>129</v>
      </c>
      <c r="H479" s="339">
        <v>11427.6</v>
      </c>
      <c r="I479" s="38"/>
    </row>
    <row r="480" spans="1:9" ht="26.25">
      <c r="A480" s="47" t="s">
        <v>158</v>
      </c>
      <c r="B480" s="42" t="s">
        <v>284</v>
      </c>
      <c r="C480" s="22" t="s">
        <v>191</v>
      </c>
      <c r="D480" s="30" t="s">
        <v>187</v>
      </c>
      <c r="E480" s="18" t="s">
        <v>159</v>
      </c>
      <c r="F480" s="7"/>
      <c r="G480" s="57"/>
      <c r="H480" s="339">
        <f>H481+H483</f>
        <v>5735.4</v>
      </c>
      <c r="I480" s="38">
        <f>I482</f>
        <v>0</v>
      </c>
    </row>
    <row r="481" spans="1:9" ht="15.75">
      <c r="A481" s="47" t="s">
        <v>160</v>
      </c>
      <c r="B481" s="42" t="s">
        <v>284</v>
      </c>
      <c r="C481" s="22" t="s">
        <v>191</v>
      </c>
      <c r="D481" s="30" t="s">
        <v>187</v>
      </c>
      <c r="E481" s="18" t="s">
        <v>161</v>
      </c>
      <c r="F481" s="7"/>
      <c r="G481" s="57"/>
      <c r="H481" s="339">
        <f>H482</f>
        <v>628</v>
      </c>
      <c r="I481" s="38"/>
    </row>
    <row r="482" spans="1:9" ht="26.25">
      <c r="A482" s="47" t="s">
        <v>154</v>
      </c>
      <c r="B482" s="42" t="s">
        <v>284</v>
      </c>
      <c r="C482" s="22" t="s">
        <v>191</v>
      </c>
      <c r="D482" s="30" t="s">
        <v>187</v>
      </c>
      <c r="E482" s="18" t="s">
        <v>161</v>
      </c>
      <c r="F482" s="7"/>
      <c r="G482" s="51" t="s">
        <v>129</v>
      </c>
      <c r="H482" s="339">
        <v>628</v>
      </c>
      <c r="I482" s="38"/>
    </row>
    <row r="483" spans="1:9" ht="26.25">
      <c r="A483" s="47" t="s">
        <v>163</v>
      </c>
      <c r="B483" s="42" t="s">
        <v>284</v>
      </c>
      <c r="C483" s="18" t="s">
        <v>191</v>
      </c>
      <c r="D483" s="30" t="s">
        <v>187</v>
      </c>
      <c r="E483" s="18" t="s">
        <v>162</v>
      </c>
      <c r="F483" s="7"/>
      <c r="G483" s="57"/>
      <c r="H483" s="339">
        <f>H484</f>
        <v>5107.4</v>
      </c>
      <c r="I483" s="38">
        <f>I484</f>
        <v>570</v>
      </c>
    </row>
    <row r="484" spans="1:9" ht="26.25">
      <c r="A484" s="47" t="s">
        <v>154</v>
      </c>
      <c r="B484" s="42" t="s">
        <v>284</v>
      </c>
      <c r="C484" s="18" t="s">
        <v>191</v>
      </c>
      <c r="D484" s="30" t="s">
        <v>187</v>
      </c>
      <c r="E484" s="18" t="s">
        <v>162</v>
      </c>
      <c r="F484" s="7"/>
      <c r="G484" s="51" t="s">
        <v>129</v>
      </c>
      <c r="H484" s="339">
        <v>5107.4</v>
      </c>
      <c r="I484" s="38">
        <v>570</v>
      </c>
    </row>
    <row r="485" spans="1:9" ht="15.75">
      <c r="A485" s="25" t="s">
        <v>53</v>
      </c>
      <c r="B485" s="42" t="s">
        <v>284</v>
      </c>
      <c r="C485" s="18" t="s">
        <v>191</v>
      </c>
      <c r="D485" s="30" t="s">
        <v>187</v>
      </c>
      <c r="E485" s="18" t="s">
        <v>164</v>
      </c>
      <c r="F485" s="7"/>
      <c r="G485" s="57"/>
      <c r="H485" s="339">
        <f>H486</f>
        <v>250</v>
      </c>
      <c r="I485" s="38">
        <f>I486</f>
        <v>0</v>
      </c>
    </row>
    <row r="486" spans="1:9" ht="15.75">
      <c r="A486" s="25" t="s">
        <v>165</v>
      </c>
      <c r="B486" s="42" t="s">
        <v>284</v>
      </c>
      <c r="C486" s="18" t="s">
        <v>191</v>
      </c>
      <c r="D486" s="30" t="s">
        <v>187</v>
      </c>
      <c r="E486" s="18" t="s">
        <v>166</v>
      </c>
      <c r="F486" s="7"/>
      <c r="G486" s="57"/>
      <c r="H486" s="339">
        <f>H487</f>
        <v>250</v>
      </c>
      <c r="I486" s="38">
        <f>I487</f>
        <v>0</v>
      </c>
    </row>
    <row r="487" spans="1:9" ht="26.25">
      <c r="A487" s="47" t="s">
        <v>154</v>
      </c>
      <c r="B487" s="42" t="s">
        <v>284</v>
      </c>
      <c r="C487" s="18" t="s">
        <v>191</v>
      </c>
      <c r="D487" s="30" t="s">
        <v>187</v>
      </c>
      <c r="E487" s="18" t="s">
        <v>166</v>
      </c>
      <c r="F487" s="7"/>
      <c r="G487" s="51" t="s">
        <v>129</v>
      </c>
      <c r="H487" s="339">
        <v>250</v>
      </c>
      <c r="I487" s="38"/>
    </row>
    <row r="488" spans="1:9" ht="26.25">
      <c r="A488" s="109" t="s">
        <v>106</v>
      </c>
      <c r="B488" s="43" t="s">
        <v>284</v>
      </c>
      <c r="C488" s="18" t="s">
        <v>191</v>
      </c>
      <c r="D488" s="30" t="s">
        <v>187</v>
      </c>
      <c r="E488" s="18" t="s">
        <v>167</v>
      </c>
      <c r="F488" s="7"/>
      <c r="G488" s="57"/>
      <c r="H488" s="339">
        <f>H489</f>
        <v>105</v>
      </c>
      <c r="I488" s="38">
        <f>I489</f>
        <v>0</v>
      </c>
    </row>
    <row r="489" spans="1:9" ht="16.5" thickBot="1">
      <c r="A489" s="281" t="s">
        <v>168</v>
      </c>
      <c r="B489" s="44" t="s">
        <v>284</v>
      </c>
      <c r="C489" s="20" t="s">
        <v>191</v>
      </c>
      <c r="D489" s="31" t="s">
        <v>187</v>
      </c>
      <c r="E489" s="20" t="s">
        <v>167</v>
      </c>
      <c r="F489" s="5"/>
      <c r="G489" s="52" t="s">
        <v>129</v>
      </c>
      <c r="H489" s="320">
        <v>105</v>
      </c>
      <c r="I489" s="36"/>
    </row>
    <row r="490" spans="1:9" s="23" customFormat="1" ht="32.25" thickBot="1">
      <c r="A490" s="286" t="s">
        <v>376</v>
      </c>
      <c r="B490" s="21" t="s">
        <v>377</v>
      </c>
      <c r="C490" s="21"/>
      <c r="D490" s="13"/>
      <c r="E490" s="21"/>
      <c r="F490" s="284"/>
      <c r="G490" s="55"/>
      <c r="H490" s="225">
        <f aca="true" t="shared" si="23" ref="H490:I492">H491</f>
        <v>1103.4</v>
      </c>
      <c r="I490" s="285">
        <f t="shared" si="23"/>
        <v>0</v>
      </c>
    </row>
    <row r="491" spans="1:9" s="23" customFormat="1" ht="15.75">
      <c r="A491" s="287" t="s">
        <v>17</v>
      </c>
      <c r="B491" s="17" t="s">
        <v>377</v>
      </c>
      <c r="C491" s="17" t="s">
        <v>186</v>
      </c>
      <c r="D491" s="32" t="s">
        <v>126</v>
      </c>
      <c r="E491" s="17"/>
      <c r="F491" s="99"/>
      <c r="G491" s="91"/>
      <c r="H491" s="340">
        <f t="shared" si="23"/>
        <v>1103.4</v>
      </c>
      <c r="I491" s="88">
        <f t="shared" si="23"/>
        <v>0</v>
      </c>
    </row>
    <row r="492" spans="1:9" s="48" customFormat="1" ht="15.75">
      <c r="A492" s="27" t="s">
        <v>310</v>
      </c>
      <c r="B492" s="18" t="s">
        <v>377</v>
      </c>
      <c r="C492" s="18" t="s">
        <v>186</v>
      </c>
      <c r="D492" s="30" t="s">
        <v>194</v>
      </c>
      <c r="E492" s="18"/>
      <c r="F492" s="30"/>
      <c r="G492" s="113"/>
      <c r="H492" s="339">
        <f t="shared" si="23"/>
        <v>1103.4</v>
      </c>
      <c r="I492" s="38">
        <f t="shared" si="23"/>
        <v>0</v>
      </c>
    </row>
    <row r="493" spans="1:9" ht="15.75">
      <c r="A493" s="70" t="s">
        <v>311</v>
      </c>
      <c r="B493" s="73" t="s">
        <v>377</v>
      </c>
      <c r="C493" s="73" t="s">
        <v>186</v>
      </c>
      <c r="D493" s="74" t="s">
        <v>194</v>
      </c>
      <c r="E493" s="73" t="s">
        <v>312</v>
      </c>
      <c r="F493" s="74"/>
      <c r="G493" s="146"/>
      <c r="H493" s="339">
        <f>H494+H496</f>
        <v>1103.4</v>
      </c>
      <c r="I493" s="38">
        <f>I494+I496</f>
        <v>0</v>
      </c>
    </row>
    <row r="494" spans="1:9" ht="26.25">
      <c r="A494" s="69" t="s">
        <v>313</v>
      </c>
      <c r="B494" s="73" t="s">
        <v>377</v>
      </c>
      <c r="C494" s="73" t="s">
        <v>186</v>
      </c>
      <c r="D494" s="74" t="s">
        <v>194</v>
      </c>
      <c r="E494" s="73" t="s">
        <v>314</v>
      </c>
      <c r="F494" s="74"/>
      <c r="G494" s="146"/>
      <c r="H494" s="339">
        <f>H495</f>
        <v>346.5</v>
      </c>
      <c r="I494" s="38">
        <f>I495</f>
        <v>0</v>
      </c>
    </row>
    <row r="495" spans="1:9" ht="15.75">
      <c r="A495" s="70" t="s">
        <v>146</v>
      </c>
      <c r="B495" s="73" t="s">
        <v>377</v>
      </c>
      <c r="C495" s="73" t="s">
        <v>186</v>
      </c>
      <c r="D495" s="74" t="s">
        <v>194</v>
      </c>
      <c r="E495" s="73" t="s">
        <v>314</v>
      </c>
      <c r="F495" s="74"/>
      <c r="G495" s="146" t="s">
        <v>278</v>
      </c>
      <c r="H495" s="339">
        <f>2203.5-1400-457</f>
        <v>346.5</v>
      </c>
      <c r="I495" s="38"/>
    </row>
    <row r="496" spans="1:9" ht="15.75">
      <c r="A496" s="69" t="s">
        <v>315</v>
      </c>
      <c r="B496" s="73" t="s">
        <v>377</v>
      </c>
      <c r="C496" s="73" t="s">
        <v>186</v>
      </c>
      <c r="D496" s="74" t="s">
        <v>194</v>
      </c>
      <c r="E496" s="73" t="s">
        <v>316</v>
      </c>
      <c r="F496" s="74"/>
      <c r="G496" s="146"/>
      <c r="H496" s="339">
        <f>H497</f>
        <v>756.9</v>
      </c>
      <c r="I496" s="38">
        <f>I497</f>
        <v>0</v>
      </c>
    </row>
    <row r="497" spans="1:9" ht="16.5" thickBot="1">
      <c r="A497" s="328" t="s">
        <v>146</v>
      </c>
      <c r="B497" s="327" t="s">
        <v>377</v>
      </c>
      <c r="C497" s="327" t="s">
        <v>186</v>
      </c>
      <c r="D497" s="282" t="s">
        <v>194</v>
      </c>
      <c r="E497" s="327" t="s">
        <v>316</v>
      </c>
      <c r="F497" s="282"/>
      <c r="G497" s="283" t="s">
        <v>278</v>
      </c>
      <c r="H497" s="320">
        <f>2203.5-1400-46.6</f>
        <v>756.9</v>
      </c>
      <c r="I497" s="36"/>
    </row>
    <row r="498" spans="1:9" ht="16.5" thickBot="1">
      <c r="A498" s="329" t="s">
        <v>446</v>
      </c>
      <c r="B498" s="246" t="s">
        <v>385</v>
      </c>
      <c r="C498" s="245"/>
      <c r="D498" s="246"/>
      <c r="E498" s="245"/>
      <c r="F498" s="246"/>
      <c r="G498" s="330"/>
      <c r="H498" s="341">
        <f aca="true" t="shared" si="24" ref="H498:I500">H499</f>
        <v>3000</v>
      </c>
      <c r="I498" s="331">
        <f t="shared" si="24"/>
        <v>0</v>
      </c>
    </row>
    <row r="499" spans="1:9" ht="15.75">
      <c r="A499" s="287" t="s">
        <v>17</v>
      </c>
      <c r="B499" s="260" t="s">
        <v>385</v>
      </c>
      <c r="C499" s="32" t="s">
        <v>186</v>
      </c>
      <c r="D499" s="260" t="s">
        <v>126</v>
      </c>
      <c r="E499" s="258"/>
      <c r="F499" s="32"/>
      <c r="G499" s="250"/>
      <c r="H499" s="342">
        <f t="shared" si="24"/>
        <v>3000</v>
      </c>
      <c r="I499" s="40">
        <f t="shared" si="24"/>
        <v>0</v>
      </c>
    </row>
    <row r="500" spans="1:9" ht="39">
      <c r="A500" s="206" t="s">
        <v>305</v>
      </c>
      <c r="B500" s="103" t="s">
        <v>385</v>
      </c>
      <c r="C500" s="115" t="s">
        <v>186</v>
      </c>
      <c r="D500" s="103" t="s">
        <v>191</v>
      </c>
      <c r="E500" s="101"/>
      <c r="F500" s="334"/>
      <c r="G500" s="255"/>
      <c r="H500" s="339">
        <f t="shared" si="24"/>
        <v>3000</v>
      </c>
      <c r="I500" s="38">
        <f t="shared" si="24"/>
        <v>0</v>
      </c>
    </row>
    <row r="501" spans="1:9" ht="39">
      <c r="A501" s="332" t="s">
        <v>301</v>
      </c>
      <c r="B501" s="73" t="s">
        <v>385</v>
      </c>
      <c r="C501" s="74" t="s">
        <v>186</v>
      </c>
      <c r="D501" s="73" t="s">
        <v>191</v>
      </c>
      <c r="E501" s="78" t="s">
        <v>277</v>
      </c>
      <c r="F501" s="335"/>
      <c r="G501" s="336"/>
      <c r="H501" s="339">
        <f>H504+H502</f>
        <v>3000</v>
      </c>
      <c r="I501" s="38">
        <f>I504</f>
        <v>0</v>
      </c>
    </row>
    <row r="502" spans="1:9" ht="15.75">
      <c r="A502" s="8" t="s">
        <v>50</v>
      </c>
      <c r="B502" s="73" t="s">
        <v>385</v>
      </c>
      <c r="C502" s="74" t="s">
        <v>186</v>
      </c>
      <c r="D502" s="73" t="s">
        <v>191</v>
      </c>
      <c r="E502" s="78" t="s">
        <v>279</v>
      </c>
      <c r="F502" s="335"/>
      <c r="G502" s="336"/>
      <c r="H502" s="339">
        <f>H503</f>
        <v>2144</v>
      </c>
      <c r="I502" s="38"/>
    </row>
    <row r="503" spans="1:9" ht="15.75">
      <c r="A503" s="27" t="s">
        <v>146</v>
      </c>
      <c r="B503" s="73" t="s">
        <v>385</v>
      </c>
      <c r="C503" s="74" t="s">
        <v>186</v>
      </c>
      <c r="D503" s="73" t="s">
        <v>191</v>
      </c>
      <c r="E503" s="78" t="s">
        <v>279</v>
      </c>
      <c r="F503" s="335"/>
      <c r="G503" s="336" t="s">
        <v>278</v>
      </c>
      <c r="H503" s="339">
        <v>2144</v>
      </c>
      <c r="I503" s="38"/>
    </row>
    <row r="504" spans="1:9" ht="15.75">
      <c r="A504" s="333" t="s">
        <v>306</v>
      </c>
      <c r="B504" s="73" t="s">
        <v>385</v>
      </c>
      <c r="C504" s="74" t="s">
        <v>186</v>
      </c>
      <c r="D504" s="73" t="s">
        <v>191</v>
      </c>
      <c r="E504" s="78" t="s">
        <v>307</v>
      </c>
      <c r="F504" s="335"/>
      <c r="G504" s="336"/>
      <c r="H504" s="339">
        <f>H505</f>
        <v>856</v>
      </c>
      <c r="I504" s="38">
        <f>I505</f>
        <v>0</v>
      </c>
    </row>
    <row r="505" spans="1:9" ht="16.5" thickBot="1">
      <c r="A505" s="333" t="s">
        <v>146</v>
      </c>
      <c r="B505" s="73" t="s">
        <v>385</v>
      </c>
      <c r="C505" s="74" t="s">
        <v>186</v>
      </c>
      <c r="D505" s="73" t="s">
        <v>191</v>
      </c>
      <c r="E505" s="78" t="s">
        <v>307</v>
      </c>
      <c r="F505" s="335"/>
      <c r="G505" s="336" t="s">
        <v>278</v>
      </c>
      <c r="H505" s="339">
        <f>1756-900</f>
        <v>856</v>
      </c>
      <c r="I505" s="38"/>
    </row>
    <row r="506" spans="1:9" s="48" customFormat="1" ht="16.5" thickBot="1">
      <c r="A506" s="393" t="s">
        <v>447</v>
      </c>
      <c r="B506" s="394" t="s">
        <v>448</v>
      </c>
      <c r="C506" s="394"/>
      <c r="D506" s="394"/>
      <c r="E506" s="394"/>
      <c r="F506" s="394"/>
      <c r="G506" s="395"/>
      <c r="H506" s="404">
        <f aca="true" t="shared" si="25" ref="H506:I509">H507</f>
        <v>5671.6</v>
      </c>
      <c r="I506" s="405">
        <f t="shared" si="25"/>
        <v>5018</v>
      </c>
    </row>
    <row r="507" spans="1:9" ht="15.75">
      <c r="A507" s="390" t="s">
        <v>17</v>
      </c>
      <c r="B507" s="391" t="s">
        <v>448</v>
      </c>
      <c r="C507" s="391" t="s">
        <v>186</v>
      </c>
      <c r="D507" s="391" t="s">
        <v>126</v>
      </c>
      <c r="E507" s="391"/>
      <c r="F507" s="391"/>
      <c r="G507" s="392"/>
      <c r="H507" s="323">
        <f t="shared" si="25"/>
        <v>5671.6</v>
      </c>
      <c r="I507" s="37">
        <f t="shared" si="25"/>
        <v>5018</v>
      </c>
    </row>
    <row r="508" spans="1:9" ht="15.75">
      <c r="A508" s="387" t="s">
        <v>439</v>
      </c>
      <c r="B508" s="388" t="s">
        <v>448</v>
      </c>
      <c r="C508" s="388" t="s">
        <v>186</v>
      </c>
      <c r="D508" s="388" t="s">
        <v>205</v>
      </c>
      <c r="E508" s="388"/>
      <c r="F508" s="388"/>
      <c r="G508" s="389"/>
      <c r="H508" s="302">
        <f t="shared" si="25"/>
        <v>5671.6</v>
      </c>
      <c r="I508" s="38">
        <f t="shared" si="25"/>
        <v>5018</v>
      </c>
    </row>
    <row r="509" spans="1:9" ht="15.75">
      <c r="A509" s="8" t="s">
        <v>50</v>
      </c>
      <c r="B509" s="388" t="s">
        <v>86</v>
      </c>
      <c r="C509" s="388" t="s">
        <v>186</v>
      </c>
      <c r="D509" s="388" t="s">
        <v>205</v>
      </c>
      <c r="E509" s="388" t="s">
        <v>279</v>
      </c>
      <c r="F509" s="388"/>
      <c r="G509" s="389"/>
      <c r="H509" s="302">
        <f t="shared" si="25"/>
        <v>5671.6</v>
      </c>
      <c r="I509" s="38">
        <f t="shared" si="25"/>
        <v>5018</v>
      </c>
    </row>
    <row r="510" spans="1:9" ht="15.75">
      <c r="A510" s="387" t="s">
        <v>146</v>
      </c>
      <c r="B510" s="388" t="s">
        <v>86</v>
      </c>
      <c r="C510" s="388" t="s">
        <v>186</v>
      </c>
      <c r="D510" s="388" t="s">
        <v>205</v>
      </c>
      <c r="E510" s="388" t="s">
        <v>279</v>
      </c>
      <c r="F510" s="388" t="s">
        <v>278</v>
      </c>
      <c r="G510" s="389" t="s">
        <v>278</v>
      </c>
      <c r="H510" s="302">
        <f>5018+503.6+150</f>
        <v>5671.6</v>
      </c>
      <c r="I510" s="38">
        <v>5018</v>
      </c>
    </row>
    <row r="511" spans="1:9" ht="16.5" thickBot="1">
      <c r="A511" s="381" t="s">
        <v>73</v>
      </c>
      <c r="B511" s="382" t="s">
        <v>49</v>
      </c>
      <c r="C511" s="383" t="s">
        <v>48</v>
      </c>
      <c r="D511" s="382" t="s">
        <v>48</v>
      </c>
      <c r="E511" s="384" t="s">
        <v>47</v>
      </c>
      <c r="F511" s="383"/>
      <c r="G511" s="385" t="s">
        <v>49</v>
      </c>
      <c r="H511" s="386">
        <f>H11+H250+H310+H348+H387+H412+H443+H472+H490+H498+H506</f>
        <v>2245487.6999999997</v>
      </c>
      <c r="I511" s="406">
        <f>I11+I250+I310+I348+I387+I412+I443+I472+I490+I498+I506</f>
        <v>555860.3</v>
      </c>
    </row>
    <row r="516" ht="15" customHeight="1"/>
  </sheetData>
  <mergeCells count="1">
    <mergeCell ref="A7:I7"/>
  </mergeCells>
  <printOptions horizontalCentered="1"/>
  <pageMargins left="0.2362204724409449" right="0.1968503937007874" top="0.35433070866141736" bottom="0.2755905511811024" header="0.6299212598425197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</dc:creator>
  <cp:keywords/>
  <dc:description/>
  <cp:lastModifiedBy>Администрация</cp:lastModifiedBy>
  <cp:lastPrinted>2009-10-22T10:33:03Z</cp:lastPrinted>
  <dcterms:created xsi:type="dcterms:W3CDTF">2002-11-11T07:39:40Z</dcterms:created>
  <dcterms:modified xsi:type="dcterms:W3CDTF">2009-10-29T08:33:05Z</dcterms:modified>
  <cp:category/>
  <cp:version/>
  <cp:contentType/>
  <cp:contentStatus/>
</cp:coreProperties>
</file>