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<sst xmlns="http://schemas.openxmlformats.org/spreadsheetml/2006/main" count="3946" uniqueCount="457">
  <si>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</si>
  <si>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</si>
  <si>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</si>
  <si>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</si>
  <si>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</si>
  <si>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</si>
  <si>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</si>
  <si>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</si>
  <si>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</si>
  <si>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</si>
  <si>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</si>
  <si>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</si>
  <si>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</si>
  <si>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</si>
  <si>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</si>
  <si>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</si>
  <si>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</si>
  <si>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</si>
  <si>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</si>
  <si>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</si>
  <si>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</si>
  <si>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</si>
  <si>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</si>
  <si>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</si>
  <si>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</si>
  <si>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</si>
  <si>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</si>
  <si>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</si>
  <si>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</si>
  <si>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</si>
  <si>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</si>
  <si>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</si>
  <si>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</si>
  <si>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</si>
  <si>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</si>
  <si>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</si>
  <si>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</si>
  <si>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</si>
  <si>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</si>
  <si>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</si>
  <si>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</si>
  <si>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</si>
  <si>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</si>
  <si>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</si>
  <si>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</si>
  <si>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</si>
  <si>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</si>
  <si>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</si>
  <si>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</si>
  <si>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</si>
  <si>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</si>
  <si>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</si>
  <si>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</si>
  <si>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</si>
  <si>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</si>
  <si>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</si>
  <si>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</si>
  <si>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</si>
  <si>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</si>
  <si>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</si>
  <si>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</si>
  <si>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</si>
  <si>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</si>
  <si>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</si>
  <si>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</si>
  <si>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</si>
  <si>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</si>
  <si>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</si>
  <si>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</si>
  <si>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</si>
  <si>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</si>
  <si>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</si>
  <si>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</si>
  <si>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</si>
  <si>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</si>
  <si>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</si>
  <si>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</si>
  <si>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</si>
  <si>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</si>
  <si>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</si>
  <si>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</si>
  <si>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</si>
  <si>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</si>
  <si>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</si>
  <si>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</si>
  <si>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</si>
  <si>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</si>
  <si>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</si>
  <si>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</si>
  <si>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</si>
  <si>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</si>
  <si>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</si>
  <si>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</si>
  <si>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</si>
  <si>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</si>
  <si>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</si>
  <si>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</si>
  <si>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</si>
  <si>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</si>
  <si>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</si>
  <si>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</si>
  <si>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</si>
  <si>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</si>
  <si>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</si>
  <si>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</si>
  <si>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</si>
  <si>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</si>
  <si>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</si>
  <si>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</si>
  <si>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</si>
  <si>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</si>
  <si>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</si>
  <si>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</si>
  <si>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</si>
  <si>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</si>
  <si>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</si>
  <si>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</si>
  <si>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</si>
  <si>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</si>
  <si>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</si>
  <si>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</si>
  <si>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</si>
  <si>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</si>
  <si>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</si>
  <si>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</si>
  <si>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</si>
  <si>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</si>
  <si>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012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</si>
  <si>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</si>
  <si>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</si>
  <si>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</si>
  <si>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</si>
  <si>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</si>
  <si>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</si>
  <si>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</si>
  <si>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</si>
  <si>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</si>
  <si>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</si>
  <si>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</si>
  <si>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</si>
  <si>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</si>
  <si>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</si>
  <si>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</si>
  <si>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</si>
  <si>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</si>
  <si>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</si>
  <si>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</si>
  <si>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</si>
  <si>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</si>
  <si>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</si>
  <si>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</si>
  <si>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</si>
  <si>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</si>
  <si>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</si>
  <si>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</si>
  <si>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</si>
  <si>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</si>
  <si>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</si>
  <si>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</si>
  <si>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</si>
  <si>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</si>
  <si>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</si>
  <si>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</si>
  <si>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</si>
  <si>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</si>
  <si>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</si>
  <si>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</si>
  <si>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</si>
  <si>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</si>
  <si>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</si>
  <si>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</si>
  <si>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</si>
  <si>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</si>
  <si>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</si>
  <si>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</si>
  <si>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</si>
  <si>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</si>
  <si>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</si>
  <si>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</si>
  <si>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</si>
  <si>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</si>
  <si>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</si>
  <si>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</si>
  <si>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</si>
  <si>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</si>
  <si>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</si>
  <si>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</si>
  <si>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</si>
  <si>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</si>
  <si>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</si>
  <si>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</si>
  <si>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</si>
  <si>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</si>
  <si>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</si>
  <si>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</si>
  <si>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</si>
  <si>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</si>
  <si>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</si>
  <si>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</si>
  <si>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</si>
  <si>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</si>
  <si>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</si>
  <si>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</si>
  <si>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</si>
  <si>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</si>
  <si>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</si>
  <si>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</si>
  <si>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</si>
  <si>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</si>
  <si>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</si>
  <si>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</si>
  <si>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</si>
  <si>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</si>
  <si>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</si>
  <si>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</si>
  <si>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</si>
  <si>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</si>
  <si>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</si>
  <si>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</si>
  <si>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</si>
  <si>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</si>
  <si>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</si>
  <si>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</si>
  <si>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</si>
  <si>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</si>
  <si>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</si>
  <si>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</si>
  <si>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</si>
  <si>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</si>
  <si>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</si>
  <si>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</si>
  <si>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</si>
  <si>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</si>
  <si>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</si>
  <si>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</si>
  <si>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</si>
  <si>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</si>
  <si>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</si>
  <si>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</si>
  <si>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</si>
  <si>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</si>
  <si>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</si>
  <si>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</si>
  <si>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</si>
  <si>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Обеспечение жилыми помещениями детей-сирот, детей, оставшихся без попечения родителей, а также детей, находящихся под опекой( попечительством), не имеющих закрепленного жилого помещения</t>
  </si>
  <si>
    <t>505 36 00</t>
  </si>
  <si>
    <t>Муниципальная целевая программа "Социальная поддержка населения г. Долгопрудного на 2007-2009 годы"</t>
  </si>
  <si>
    <t>795 03 00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</si>
  <si>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</si>
  <si>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</si>
  <si>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</si>
  <si>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</si>
  <si>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</si>
  <si>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</si>
  <si>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</si>
  <si>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</si>
  <si>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</si>
  <si>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</si>
  <si>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</si>
  <si>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</si>
  <si>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>Социальные ваыплаты</t>
  </si>
  <si>
    <t xml:space="preserve"> и видам расходов  классификации расходов бюджетов </t>
  </si>
  <si>
    <t>795 07 00</t>
  </si>
  <si>
    <t>795 08 00</t>
  </si>
  <si>
    <t>795 09 00</t>
  </si>
  <si>
    <t>795 10 00</t>
  </si>
  <si>
    <t>Программа   по проведению капитального ремонта многоквартирных домов в городе Долгопрудном на 2007-2011 годы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</si>
  <si>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</si>
  <si>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</si>
  <si>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</si>
  <si>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</si>
  <si>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</si>
  <si>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</si>
  <si>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</si>
  <si>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</si>
  <si>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</si>
  <si>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</si>
  <si>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</si>
  <si>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</si>
  <si>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</si>
  <si>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</si>
  <si>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</si>
  <si>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</si>
  <si>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</si>
  <si>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</si>
  <si>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0008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</si>
  <si>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</si>
  <si>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</si>
  <si>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</si>
  <si>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</si>
  <si>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(Приложение №3</t>
  </si>
  <si>
    <t>Мероприятия в области коммунального хозяйства</t>
  </si>
  <si>
    <t>351 05 00</t>
  </si>
  <si>
    <t>795  14 00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</si>
  <si>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</si>
  <si>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</si>
  <si>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</si>
  <si>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795 15 00</t>
  </si>
  <si>
    <t>795 14 00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</si>
  <si>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</si>
  <si>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водовода в мкр. " Хлебниково"</t>
    </r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</si>
  <si>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</si>
  <si>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ПИР и строительство здания скорой медицинской помощи по адресу : МО, г. Долгопрудный, Московское шоссе)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</si>
  <si>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</si>
  <si>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</si>
  <si>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</si>
  <si>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</si>
  <si>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</si>
  <si>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</si>
  <si>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</si>
  <si>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</si>
  <si>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</si>
  <si>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</si>
  <si>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</si>
  <si>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</si>
  <si>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</si>
  <si>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</si>
  <si>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</si>
  <si>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</si>
  <si>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</si>
  <si>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</si>
  <si>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Содержание автомобильных дорог  общего пользования</t>
  </si>
  <si>
    <t>315 02 03</t>
  </si>
  <si>
    <t>Выполнение функций государственными органами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</si>
  <si>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</si>
  <si>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</si>
  <si>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</si>
  <si>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</si>
  <si>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</si>
  <si>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</si>
  <si>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</si>
  <si>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</si>
  <si>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</si>
  <si>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</si>
  <si>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</si>
  <si>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</si>
  <si>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</si>
  <si>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</si>
  <si>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</si>
  <si>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</si>
  <si>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</si>
  <si>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</si>
  <si>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</si>
  <si>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</si>
  <si>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</si>
  <si>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Ведомственная структура расходов  бюджета городского округа Долгопрудный  на   2009 год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</si>
  <si>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 бассейна в составе многофункционального спортивного комплекса (ПИР и СМР)</t>
    </r>
  </si>
  <si>
    <t>Природоохранные мероприятия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</si>
  <si>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</si>
  <si>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Мероприятия по землеустройству и землепользованию</t>
  </si>
  <si>
    <t>340 03 00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</si>
  <si>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ПИР и СМР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</si>
  <si>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</si>
  <si>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</si>
  <si>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программа "Развитие и социальная поддержка общественного самоуправления в городе Долгопрудном на 2009 год"</t>
  </si>
  <si>
    <t>795 22 00</t>
  </si>
  <si>
    <t>795 17 00</t>
  </si>
  <si>
    <t>Муниципальная целевая программа по повышению пожарной безопасности жилищного фонда г. Долгопрудного на 2009-2012 годы</t>
  </si>
  <si>
    <t>795 18 00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</si>
  <si>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</si>
  <si>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</si>
  <si>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"Обеспечение жильем  молодых семей в г. Долгопрудный на 2007-2008 год"</t>
  </si>
  <si>
    <t>Муниципальная целевая программа "Обеспечение жильем  молодых семей в г. Долгопрудный на 2009 год"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</si>
  <si>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Реконструкция  муниципального дошкольного образовательного уреждения детского сада 2 категории  общеразвивающего вида № 24 " Березка"  г. Долгопрудного 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</si>
  <si>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Разработка ПСД на комплексную рекострукцию микрорайона  Водники: стр-во жилых домов,инженерной инфраструктуры, социальных объектов , межевание земельных участков)</t>
    </r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</si>
  <si>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</si>
  <si>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</si>
  <si>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Муниципальная программа "Развитие системы здравоохранения городского округа Долгопрудный на период 2009-2011 годы"</t>
  </si>
  <si>
    <t>795 21 00</t>
  </si>
  <si>
    <t>Расходы бюджета города на 2009 г. по разделам, подразделам, целевым статьям</t>
  </si>
  <si>
    <t>"Муниципальная целевая программа по по антитеррористической защищенности объектов коммунальной инфраструктуры г. Долгопрудного на 2008-2011 годы"</t>
  </si>
  <si>
    <t>Муниципальная целевая программа по по антитеррористической защищенности объектов коммунальной инфраструктуры г. Долгопрудного на 2008-2011 годы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</si>
  <si>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</si>
  <si>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</si>
  <si>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</si>
  <si>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</si>
  <si>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</si>
  <si>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</si>
  <si>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</si>
  <si>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Программа  " Модернизация объектов коммунальной инфраструктуры на 2008-2011 годы в городе Долгопрудном"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</si>
  <si>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</si>
  <si>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Городская  целевая программа" Развитие и поддержка малого и среднего предпринимательства в городском округе Долгопрудный Московской области на период 2008-2009 годы"</t>
  </si>
  <si>
    <t>Муниципальная целевая программа "Обеспечение жильем  молодых семей в г. Долгопрудный на 2007-2008 годы"</t>
  </si>
  <si>
    <t>"Муниципальная целевая программа по замене лифтов в многоквартирных жилых домах г. Долгопрудного на 2009-2012 годы</t>
  </si>
  <si>
    <t>Территориальная избирательная комиссия города Долгопрудный</t>
  </si>
  <si>
    <t>009</t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</si>
  <si>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</si>
  <si>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</si>
  <si>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</si>
  <si>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</si>
  <si>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 мероприятий по капитальному ремонту многоквартирных домов </t>
  </si>
  <si>
    <t>098 01 01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</si>
  <si>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</si>
  <si>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</si>
  <si>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</si>
  <si>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</si>
  <si>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</si>
  <si>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</si>
  <si>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Развитие социальной и инженерной инфраструктуры субъектов  Российской  Федерации и муниципальных образований</t>
  </si>
  <si>
    <t>523 00 00</t>
  </si>
  <si>
    <t>523 01 00</t>
  </si>
  <si>
    <t>Развитие социальной и инженерной инфраструктуры (Реконструкция  котельной в г. Долгопрудный Московской области , ул. Заводская , д. 2  ) ( за счет средств федерального бюджета)</t>
  </si>
  <si>
    <t>Развитие социальной и инженерной инфраструктуры (Водовод на микрорайон " Хлебниково" в г.  Долгопрудный Московской области  ) ( за счет средств федерального бюджета)</t>
  </si>
  <si>
    <t xml:space="preserve">Развитие социальной и инженерной инфраструктуры 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</si>
  <si>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</si>
  <si>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</si>
  <si>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</si>
  <si>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</si>
  <si>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Субсидии на обеспечение жильем</t>
  </si>
  <si>
    <t>501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</si>
  <si>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</si>
  <si>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</si>
  <si>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</si>
  <si>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</si>
  <si>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522 02 04</t>
  </si>
  <si>
    <t>Внедрение  инновационных образовательных программ</t>
  </si>
  <si>
    <t>436 0200</t>
  </si>
  <si>
    <t>436 02 00</t>
  </si>
  <si>
    <t>Внедрение современных образовательных технологий</t>
  </si>
  <si>
    <t>436 03 00</t>
  </si>
  <si>
    <t>Оснащение общеобразовательных учреждений учебным оборудованием</t>
  </si>
  <si>
    <t>436 07 00</t>
  </si>
  <si>
    <t>Государственная поддержка внедрения комплексных мер модернизации оборудования</t>
  </si>
  <si>
    <t>520 12 00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</si>
  <si>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</si>
  <si>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</si>
  <si>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</si>
  <si>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</si>
  <si>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</si>
  <si>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</si>
  <si>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001 04 00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</si>
  <si>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</si>
  <si>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</si>
  <si>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</si>
  <si>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</si>
  <si>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 спорта и физической культуры</t>
  </si>
  <si>
    <t>471 99 04</t>
  </si>
  <si>
    <t>470 99 05</t>
  </si>
  <si>
    <t>Мероприятия в области строительства, архитектуры и градостроительства</t>
  </si>
  <si>
    <t>338 00 00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</si>
  <si>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</si>
  <si>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инвестиции(кредиторская задолженность)</t>
  </si>
  <si>
    <t>Организация благоустройства</t>
  </si>
  <si>
    <t>351 02 00</t>
  </si>
  <si>
    <t>Освещение</t>
  </si>
  <si>
    <t>351 02 01</t>
  </si>
  <si>
    <t>351 02 02</t>
  </si>
  <si>
    <t xml:space="preserve">Прочие мероприятия по благоустройству городских округов </t>
  </si>
  <si>
    <t>351 02 03</t>
  </si>
  <si>
    <t>Бюджетные инвестиции в объекты капитального строительства собственности муниципальных образований (погашение кредиторской задолженности по реконструкции детского сада № 15)</t>
  </si>
  <si>
    <t>Бюджетные инвестиции в объекты капитального строительства собственности муниципальных образований ( кредиторская  задолженность по строительству  школы № 14)</t>
  </si>
  <si>
    <t>Приложение №2</t>
  </si>
  <si>
    <t>Приложение №4</t>
  </si>
  <si>
    <t>(Приложение №5</t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</si>
  <si>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</si>
  <si>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от 28 ноября 2008г. №98-нр)</t>
  </si>
  <si>
    <t>от 18 марта 2009г. №17-нр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</si>
</sst>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0" xfId="0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2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wrapText="1"/>
    </xf>
    <xf numFmtId="49" fontId="2" fillId="0" borderId="4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6" xfId="0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2" fillId="0" borderId="29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13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6" fillId="0" borderId="31" xfId="0" applyFont="1" applyBorder="1" applyAlignment="1">
      <alignment wrapText="1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164" fontId="2" fillId="0" borderId="30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0" fontId="2" fillId="0" borderId="9" xfId="0" applyFont="1" applyBorder="1" applyAlignment="1">
      <alignment wrapText="1"/>
    </xf>
    <xf numFmtId="164" fontId="14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49" fontId="14" fillId="0" borderId="4" xfId="0" applyNumberFormat="1" applyFont="1" applyFill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15" fillId="0" borderId="15" xfId="0" applyFont="1" applyBorder="1" applyAlignment="1">
      <alignment wrapText="1"/>
    </xf>
    <xf numFmtId="49" fontId="15" fillId="0" borderId="11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5" fillId="0" borderId="15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164" fontId="15" fillId="0" borderId="13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5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33" xfId="0" applyFont="1" applyBorder="1" applyAlignment="1">
      <alignment/>
    </xf>
    <xf numFmtId="49" fontId="5" fillId="0" borderId="34" xfId="0" applyNumberFormat="1" applyFont="1" applyBorder="1" applyAlignment="1">
      <alignment/>
    </xf>
    <xf numFmtId="0" fontId="5" fillId="0" borderId="9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5" fillId="0" borderId="10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15" fillId="0" borderId="16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15" fillId="0" borderId="19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15" fillId="0" borderId="17" xfId="0" applyFont="1" applyBorder="1" applyAlignment="1">
      <alignment wrapText="1"/>
    </xf>
    <xf numFmtId="164" fontId="1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5" fillId="0" borderId="35" xfId="0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32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15" fillId="0" borderId="7" xfId="0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5" fillId="0" borderId="32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 wrapText="1"/>
    </xf>
    <xf numFmtId="49" fontId="2" fillId="0" borderId="2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6" xfId="0" applyNumberFormat="1" applyFont="1" applyFill="1" applyBorder="1" applyAlignment="1">
      <alignment/>
    </xf>
    <xf numFmtId="0" fontId="6" fillId="0" borderId="37" xfId="0" applyFont="1" applyBorder="1" applyAlignment="1">
      <alignment wrapText="1"/>
    </xf>
    <xf numFmtId="164" fontId="2" fillId="0" borderId="38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5" fillId="0" borderId="35" xfId="0" applyFont="1" applyBorder="1" applyAlignment="1">
      <alignment wrapText="1"/>
    </xf>
    <xf numFmtId="0" fontId="14" fillId="0" borderId="9" xfId="0" applyFont="1" applyBorder="1" applyAlignment="1">
      <alignment/>
    </xf>
    <xf numFmtId="0" fontId="14" fillId="0" borderId="27" xfId="0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5" fillId="0" borderId="9" xfId="0" applyNumberFormat="1" applyFont="1" applyBorder="1" applyAlignment="1">
      <alignment wrapText="1"/>
    </xf>
    <xf numFmtId="164" fontId="5" fillId="0" borderId="35" xfId="0" applyNumberFormat="1" applyFont="1" applyBorder="1" applyAlignment="1">
      <alignment/>
    </xf>
    <xf numFmtId="164" fontId="15" fillId="0" borderId="3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15" fillId="0" borderId="33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49" fontId="5" fillId="0" borderId="9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15" fillId="0" borderId="3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15" fillId="0" borderId="34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/>
    </xf>
    <xf numFmtId="49" fontId="15" fillId="0" borderId="7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64" fontId="16" fillId="0" borderId="1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49" fontId="15" fillId="0" borderId="39" xfId="0" applyNumberFormat="1" applyFont="1" applyBorder="1" applyAlignment="1">
      <alignment/>
    </xf>
    <xf numFmtId="0" fontId="9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5" fillId="0" borderId="40" xfId="0" applyNumberFormat="1" applyFont="1" applyBorder="1" applyAlignment="1">
      <alignment/>
    </xf>
    <xf numFmtId="164" fontId="16" fillId="0" borderId="5" xfId="0" applyNumberFormat="1" applyFont="1" applyBorder="1" applyAlignment="1">
      <alignment/>
    </xf>
    <xf numFmtId="49" fontId="15" fillId="0" borderId="5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41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15" fillId="0" borderId="42" xfId="0" applyNumberFormat="1" applyFont="1" applyBorder="1" applyAlignment="1">
      <alignment/>
    </xf>
    <xf numFmtId="0" fontId="5" fillId="0" borderId="43" xfId="0" applyFont="1" applyBorder="1" applyAlignment="1">
      <alignment/>
    </xf>
    <xf numFmtId="49" fontId="5" fillId="0" borderId="44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44" xfId="0" applyNumberFormat="1" applyFont="1" applyBorder="1" applyAlignment="1">
      <alignment horizontal="left"/>
    </xf>
    <xf numFmtId="0" fontId="1" fillId="0" borderId="7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49" fontId="2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7" fillId="0" borderId="15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49" fontId="17" fillId="0" borderId="3" xfId="0" applyNumberFormat="1" applyFont="1" applyBorder="1" applyAlignment="1">
      <alignment/>
    </xf>
    <xf numFmtId="0" fontId="17" fillId="0" borderId="16" xfId="0" applyFont="1" applyBorder="1" applyAlignment="1">
      <alignment/>
    </xf>
    <xf numFmtId="49" fontId="17" fillId="0" borderId="13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41" xfId="0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12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left"/>
    </xf>
    <xf numFmtId="49" fontId="15" fillId="0" borderId="28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5" fillId="0" borderId="24" xfId="0" applyNumberFormat="1" applyFont="1" applyBorder="1" applyAlignment="1">
      <alignment/>
    </xf>
    <xf numFmtId="0" fontId="15" fillId="0" borderId="40" xfId="0" applyFont="1" applyBorder="1" applyAlignment="1">
      <alignment wrapText="1"/>
    </xf>
    <xf numFmtId="0" fontId="15" fillId="0" borderId="40" xfId="0" applyFont="1" applyBorder="1" applyAlignment="1">
      <alignment/>
    </xf>
    <xf numFmtId="0" fontId="1" fillId="0" borderId="40" xfId="0" applyFont="1" applyBorder="1" applyAlignment="1">
      <alignment wrapText="1"/>
    </xf>
    <xf numFmtId="0" fontId="1" fillId="0" borderId="40" xfId="0" applyFont="1" applyBorder="1" applyAlignment="1">
      <alignment/>
    </xf>
    <xf numFmtId="0" fontId="1" fillId="0" borderId="46" xfId="0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0" fontId="2" fillId="0" borderId="47" xfId="0" applyFont="1" applyBorder="1" applyAlignment="1">
      <alignment wrapText="1"/>
    </xf>
    <xf numFmtId="164" fontId="2" fillId="0" borderId="48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9" xfId="0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9"/>
  <sheetViews>
    <sheetView zoomScale="75" zoomScaleNormal="75" workbookViewId="0" topLeftCell="A1">
      <selection activeCell="K7" sqref="K7"/>
    </sheetView>
  </sheetViews>
  <sheetFormatPr defaultColWidth="8.796875" defaultRowHeight="15"/>
  <cols>
    <col min="1" max="1" width="56.699218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8" customWidth="1"/>
    <col min="8" max="8" width="11.69921875" style="0" customWidth="1"/>
    <col min="9" max="9" width="8.69921875" style="88" customWidth="1"/>
  </cols>
  <sheetData>
    <row r="1" ht="15.75">
      <c r="H1" s="91" t="s">
        <v>451</v>
      </c>
    </row>
    <row r="2" ht="15.75">
      <c r="H2" s="91" t="s">
        <v>267</v>
      </c>
    </row>
    <row r="3" ht="15.75">
      <c r="H3" s="91" t="s">
        <v>456</v>
      </c>
    </row>
    <row r="4" spans="7:8" ht="15.75">
      <c r="G4" s="48"/>
      <c r="H4" s="91" t="s">
        <v>290</v>
      </c>
    </row>
    <row r="5" ht="15.75">
      <c r="H5" s="91" t="s">
        <v>267</v>
      </c>
    </row>
    <row r="6" ht="15.75">
      <c r="H6" s="91" t="s">
        <v>455</v>
      </c>
    </row>
    <row r="7" ht="15.75">
      <c r="H7" s="91"/>
    </row>
    <row r="8" spans="1:8" ht="15.75">
      <c r="A8" s="383" t="s">
        <v>369</v>
      </c>
      <c r="B8" s="383"/>
      <c r="C8" s="383"/>
      <c r="D8" s="383"/>
      <c r="E8" s="383"/>
      <c r="F8" s="383"/>
      <c r="G8" s="383"/>
      <c r="H8" s="383"/>
    </row>
    <row r="9" spans="1:8" ht="18.75" customHeight="1">
      <c r="A9" s="384" t="s">
        <v>261</v>
      </c>
      <c r="B9" s="384"/>
      <c r="C9" s="384"/>
      <c r="D9" s="384"/>
      <c r="E9" s="384"/>
      <c r="F9" s="384"/>
      <c r="G9" s="384"/>
      <c r="H9" s="384"/>
    </row>
    <row r="10" spans="1:8" ht="18.75" customHeight="1" thickBot="1">
      <c r="A10" s="134"/>
      <c r="B10" s="134"/>
      <c r="C10" s="134"/>
      <c r="D10" s="134"/>
      <c r="E10" s="134"/>
      <c r="F10" s="134"/>
      <c r="G10" s="134"/>
      <c r="H10" s="135" t="s">
        <v>269</v>
      </c>
    </row>
    <row r="11" spans="1:9" s="48" customFormat="1" ht="16.5" thickBot="1">
      <c r="A11" s="143" t="s">
        <v>124</v>
      </c>
      <c r="B11" s="227" t="s">
        <v>182</v>
      </c>
      <c r="C11" s="19" t="s">
        <v>183</v>
      </c>
      <c r="D11" s="229" t="s">
        <v>184</v>
      </c>
      <c r="E11" s="19" t="s">
        <v>185</v>
      </c>
      <c r="F11" s="229"/>
      <c r="G11" s="240"/>
      <c r="H11" s="144" t="s">
        <v>89</v>
      </c>
      <c r="I11" s="88"/>
    </row>
    <row r="12" spans="1:9" s="48" customFormat="1" ht="33.75" thickBot="1">
      <c r="A12" s="238"/>
      <c r="B12" s="263"/>
      <c r="C12" s="10"/>
      <c r="D12" s="257"/>
      <c r="E12" s="10"/>
      <c r="F12" s="257"/>
      <c r="G12" s="241" t="s">
        <v>60</v>
      </c>
      <c r="H12" s="124" t="s">
        <v>249</v>
      </c>
      <c r="I12" s="88"/>
    </row>
    <row r="13" spans="1:9" s="48" customFormat="1" ht="16.5" thickBot="1">
      <c r="A13" s="16" t="s">
        <v>17</v>
      </c>
      <c r="B13" s="28" t="s">
        <v>186</v>
      </c>
      <c r="C13" s="21" t="s">
        <v>126</v>
      </c>
      <c r="D13" s="12"/>
      <c r="E13" s="21"/>
      <c r="F13" s="12"/>
      <c r="G13" s="242">
        <f>G14+G38+G42+G24+G18+G32+G28</f>
        <v>177055.2</v>
      </c>
      <c r="H13" s="327">
        <f>H14+H38+H42+H24+H18+H32</f>
        <v>5147</v>
      </c>
      <c r="I13" s="88"/>
    </row>
    <row r="14" spans="1:9" s="48" customFormat="1" ht="29.25">
      <c r="A14" s="145" t="s">
        <v>102</v>
      </c>
      <c r="B14" s="249" t="s">
        <v>186</v>
      </c>
      <c r="C14" s="146" t="s">
        <v>187</v>
      </c>
      <c r="D14" s="173"/>
      <c r="E14" s="146"/>
      <c r="F14" s="173"/>
      <c r="G14" s="243">
        <f aca="true" t="shared" si="0" ref="G14:H16">G15</f>
        <v>1577.3</v>
      </c>
      <c r="H14" s="148">
        <f t="shared" si="0"/>
        <v>0</v>
      </c>
      <c r="I14" s="88"/>
    </row>
    <row r="15" spans="1:9" s="48" customFormat="1" ht="42.75" customHeight="1">
      <c r="A15" s="149" t="s">
        <v>308</v>
      </c>
      <c r="B15" s="190" t="s">
        <v>186</v>
      </c>
      <c r="C15" s="150" t="s">
        <v>187</v>
      </c>
      <c r="D15" s="151" t="s">
        <v>277</v>
      </c>
      <c r="E15" s="150"/>
      <c r="F15" s="151"/>
      <c r="G15" s="191">
        <f t="shared" si="0"/>
        <v>1577.3</v>
      </c>
      <c r="H15" s="153">
        <f t="shared" si="0"/>
        <v>0</v>
      </c>
      <c r="I15" s="88"/>
    </row>
    <row r="16" spans="1:9" s="48" customFormat="1" ht="15.75">
      <c r="A16" s="69" t="s">
        <v>306</v>
      </c>
      <c r="B16" s="190" t="s">
        <v>186</v>
      </c>
      <c r="C16" s="150" t="s">
        <v>187</v>
      </c>
      <c r="D16" s="151" t="s">
        <v>307</v>
      </c>
      <c r="E16" s="150"/>
      <c r="F16" s="151"/>
      <c r="G16" s="191">
        <f t="shared" si="0"/>
        <v>1577.3</v>
      </c>
      <c r="H16" s="153">
        <f t="shared" si="0"/>
        <v>0</v>
      </c>
      <c r="I16" s="88"/>
    </row>
    <row r="17" spans="1:9" s="48" customFormat="1" ht="15.75">
      <c r="A17" s="154" t="s">
        <v>146</v>
      </c>
      <c r="B17" s="190" t="s">
        <v>186</v>
      </c>
      <c r="C17" s="150" t="s">
        <v>187</v>
      </c>
      <c r="D17" s="151" t="s">
        <v>307</v>
      </c>
      <c r="E17" s="150" t="s">
        <v>278</v>
      </c>
      <c r="F17" s="151"/>
      <c r="G17" s="191">
        <f>'Прилож №5'!H16</f>
        <v>1577.3</v>
      </c>
      <c r="H17" s="153">
        <f>'Прилож №5'!I16</f>
        <v>0</v>
      </c>
      <c r="I17" s="88"/>
    </row>
    <row r="18" spans="1:9" s="48" customFormat="1" ht="39">
      <c r="A18" s="69" t="s">
        <v>309</v>
      </c>
      <c r="B18" s="73" t="s">
        <v>186</v>
      </c>
      <c r="C18" s="74" t="s">
        <v>191</v>
      </c>
      <c r="D18" s="73"/>
      <c r="E18" s="150"/>
      <c r="F18" s="151"/>
      <c r="G18" s="191">
        <f>G19</f>
        <v>6845.4</v>
      </c>
      <c r="H18" s="153">
        <f>H19</f>
        <v>0</v>
      </c>
      <c r="I18" s="88"/>
    </row>
    <row r="19" spans="1:9" s="48" customFormat="1" ht="39">
      <c r="A19" s="68" t="s">
        <v>305</v>
      </c>
      <c r="B19" s="73" t="s">
        <v>186</v>
      </c>
      <c r="C19" s="74" t="s">
        <v>191</v>
      </c>
      <c r="D19" s="73" t="s">
        <v>277</v>
      </c>
      <c r="E19" s="150"/>
      <c r="F19" s="151"/>
      <c r="G19" s="191">
        <f>G20+G22</f>
        <v>6845.4</v>
      </c>
      <c r="H19" s="153">
        <f>H20+H22</f>
        <v>0</v>
      </c>
      <c r="I19" s="88"/>
    </row>
    <row r="20" spans="1:9" s="48" customFormat="1" ht="15.75">
      <c r="A20" s="70" t="s">
        <v>310</v>
      </c>
      <c r="B20" s="73" t="s">
        <v>186</v>
      </c>
      <c r="C20" s="74" t="s">
        <v>191</v>
      </c>
      <c r="D20" s="73" t="s">
        <v>311</v>
      </c>
      <c r="E20" s="150"/>
      <c r="F20" s="151"/>
      <c r="G20" s="191">
        <f>G21</f>
        <v>1756</v>
      </c>
      <c r="H20" s="153">
        <f>H21</f>
        <v>0</v>
      </c>
      <c r="I20" s="88"/>
    </row>
    <row r="21" spans="1:9" s="48" customFormat="1" ht="15.75">
      <c r="A21" s="70" t="s">
        <v>146</v>
      </c>
      <c r="B21" s="73" t="s">
        <v>186</v>
      </c>
      <c r="C21" s="74" t="s">
        <v>191</v>
      </c>
      <c r="D21" s="73" t="s">
        <v>311</v>
      </c>
      <c r="E21" s="150" t="s">
        <v>278</v>
      </c>
      <c r="F21" s="151"/>
      <c r="G21" s="191">
        <f>'Прилож №5'!H20</f>
        <v>1756</v>
      </c>
      <c r="H21" s="153">
        <f>'Прилож №5'!I20</f>
        <v>0</v>
      </c>
      <c r="I21" s="88"/>
    </row>
    <row r="22" spans="1:9" s="48" customFormat="1" ht="15.75">
      <c r="A22" s="70" t="s">
        <v>312</v>
      </c>
      <c r="B22" s="73" t="s">
        <v>186</v>
      </c>
      <c r="C22" s="74" t="s">
        <v>191</v>
      </c>
      <c r="D22" s="73" t="s">
        <v>313</v>
      </c>
      <c r="E22" s="150"/>
      <c r="F22" s="151"/>
      <c r="G22" s="191">
        <f>G23</f>
        <v>5089.4</v>
      </c>
      <c r="H22" s="153">
        <f>H23</f>
        <v>0</v>
      </c>
      <c r="I22" s="88"/>
    </row>
    <row r="23" spans="1:9" s="48" customFormat="1" ht="15.75">
      <c r="A23" s="70" t="s">
        <v>146</v>
      </c>
      <c r="B23" s="73" t="s">
        <v>186</v>
      </c>
      <c r="C23" s="74" t="s">
        <v>191</v>
      </c>
      <c r="D23" s="73" t="s">
        <v>313</v>
      </c>
      <c r="E23" s="150" t="s">
        <v>278</v>
      </c>
      <c r="F23" s="151"/>
      <c r="G23" s="191">
        <f>'Прилож №5'!H22</f>
        <v>5089.4</v>
      </c>
      <c r="H23" s="153">
        <f>'Прилож №5'!I22</f>
        <v>0</v>
      </c>
      <c r="I23" s="88"/>
    </row>
    <row r="24" spans="1:9" s="48" customFormat="1" ht="28.5" customHeight="1">
      <c r="A24" s="155" t="s">
        <v>103</v>
      </c>
      <c r="B24" s="188" t="s">
        <v>186</v>
      </c>
      <c r="C24" s="156" t="s">
        <v>188</v>
      </c>
      <c r="D24" s="157"/>
      <c r="E24" s="156"/>
      <c r="F24" s="157"/>
      <c r="G24" s="189">
        <f aca="true" t="shared" si="1" ref="G24:H26">G25</f>
        <v>103293.3</v>
      </c>
      <c r="H24" s="159">
        <f t="shared" si="1"/>
        <v>5147</v>
      </c>
      <c r="I24" s="88"/>
    </row>
    <row r="25" spans="1:9" s="48" customFormat="1" ht="18.75" customHeight="1">
      <c r="A25" s="149" t="s">
        <v>147</v>
      </c>
      <c r="B25" s="190" t="s">
        <v>186</v>
      </c>
      <c r="C25" s="150" t="s">
        <v>188</v>
      </c>
      <c r="D25" s="151" t="s">
        <v>277</v>
      </c>
      <c r="E25" s="150"/>
      <c r="F25" s="151"/>
      <c r="G25" s="191">
        <f t="shared" si="1"/>
        <v>103293.3</v>
      </c>
      <c r="H25" s="153">
        <f t="shared" si="1"/>
        <v>5147</v>
      </c>
      <c r="I25" s="88"/>
    </row>
    <row r="26" spans="1:9" s="48" customFormat="1" ht="15.75">
      <c r="A26" s="154" t="s">
        <v>50</v>
      </c>
      <c r="B26" s="190" t="s">
        <v>186</v>
      </c>
      <c r="C26" s="150" t="s">
        <v>188</v>
      </c>
      <c r="D26" s="151" t="s">
        <v>279</v>
      </c>
      <c r="E26" s="150"/>
      <c r="F26" s="151"/>
      <c r="G26" s="191">
        <f t="shared" si="1"/>
        <v>103293.3</v>
      </c>
      <c r="H26" s="153">
        <f t="shared" si="1"/>
        <v>5147</v>
      </c>
      <c r="I26" s="88"/>
    </row>
    <row r="27" spans="1:9" s="48" customFormat="1" ht="15.75">
      <c r="A27" s="154" t="s">
        <v>146</v>
      </c>
      <c r="B27" s="190" t="s">
        <v>186</v>
      </c>
      <c r="C27" s="150" t="s">
        <v>188</v>
      </c>
      <c r="D27" s="151" t="s">
        <v>279</v>
      </c>
      <c r="E27" s="150" t="s">
        <v>278</v>
      </c>
      <c r="F27" s="151"/>
      <c r="G27" s="191">
        <f>'Прилож №5'!H26</f>
        <v>103293.3</v>
      </c>
      <c r="H27" s="153">
        <f>'Прилож №5'!I26</f>
        <v>5147</v>
      </c>
      <c r="I27" s="88"/>
    </row>
    <row r="28" spans="1:9" s="23" customFormat="1" ht="15.75">
      <c r="A28" s="113" t="s">
        <v>426</v>
      </c>
      <c r="B28" s="188" t="s">
        <v>186</v>
      </c>
      <c r="C28" s="156" t="s">
        <v>200</v>
      </c>
      <c r="D28" s="157"/>
      <c r="E28" s="156"/>
      <c r="F28" s="157"/>
      <c r="G28" s="189">
        <f>G29</f>
        <v>46.6</v>
      </c>
      <c r="H28" s="159"/>
      <c r="I28" s="118"/>
    </row>
    <row r="29" spans="1:9" s="48" customFormat="1" ht="15.75">
      <c r="A29" s="70" t="s">
        <v>147</v>
      </c>
      <c r="B29" s="190" t="s">
        <v>186</v>
      </c>
      <c r="C29" s="150" t="s">
        <v>200</v>
      </c>
      <c r="D29" s="151" t="s">
        <v>427</v>
      </c>
      <c r="E29" s="150"/>
      <c r="F29" s="151"/>
      <c r="G29" s="191">
        <f>G30</f>
        <v>46.6</v>
      </c>
      <c r="H29" s="153"/>
      <c r="I29" s="88"/>
    </row>
    <row r="30" spans="1:9" s="48" customFormat="1" ht="26.25">
      <c r="A30" s="69" t="s">
        <v>428</v>
      </c>
      <c r="B30" s="190" t="s">
        <v>186</v>
      </c>
      <c r="C30" s="150" t="s">
        <v>200</v>
      </c>
      <c r="D30" s="151" t="s">
        <v>430</v>
      </c>
      <c r="E30" s="150"/>
      <c r="F30" s="151"/>
      <c r="G30" s="191">
        <f>G31</f>
        <v>46.6</v>
      </c>
      <c r="H30" s="153"/>
      <c r="I30" s="88"/>
    </row>
    <row r="31" spans="1:9" s="48" customFormat="1" ht="15.75">
      <c r="A31" s="70" t="s">
        <v>146</v>
      </c>
      <c r="B31" s="190" t="s">
        <v>186</v>
      </c>
      <c r="C31" s="150" t="s">
        <v>200</v>
      </c>
      <c r="D31" s="151" t="s">
        <v>430</v>
      </c>
      <c r="E31" s="150" t="s">
        <v>278</v>
      </c>
      <c r="F31" s="151"/>
      <c r="G31" s="191">
        <f>'Прилож №5'!H30</f>
        <v>46.6</v>
      </c>
      <c r="H31" s="153"/>
      <c r="I31" s="88"/>
    </row>
    <row r="32" spans="1:9" s="23" customFormat="1" ht="15.75">
      <c r="A32" s="113" t="s">
        <v>314</v>
      </c>
      <c r="B32" s="188" t="s">
        <v>186</v>
      </c>
      <c r="C32" s="156" t="s">
        <v>194</v>
      </c>
      <c r="D32" s="157"/>
      <c r="E32" s="156"/>
      <c r="F32" s="157"/>
      <c r="G32" s="189">
        <f>G33</f>
        <v>1607</v>
      </c>
      <c r="H32" s="159">
        <f>H33</f>
        <v>0</v>
      </c>
      <c r="I32" s="118"/>
    </row>
    <row r="33" spans="1:9" s="48" customFormat="1" ht="15.75">
      <c r="A33" s="70" t="s">
        <v>315</v>
      </c>
      <c r="B33" s="190" t="s">
        <v>186</v>
      </c>
      <c r="C33" s="150" t="s">
        <v>194</v>
      </c>
      <c r="D33" s="73" t="s">
        <v>316</v>
      </c>
      <c r="E33" s="74"/>
      <c r="F33" s="142"/>
      <c r="G33" s="191">
        <f>G34+G36</f>
        <v>1607</v>
      </c>
      <c r="H33" s="153">
        <f>H34+H36</f>
        <v>0</v>
      </c>
      <c r="I33" s="88"/>
    </row>
    <row r="34" spans="1:9" s="48" customFormat="1" ht="26.25">
      <c r="A34" s="69" t="s">
        <v>317</v>
      </c>
      <c r="B34" s="190" t="s">
        <v>186</v>
      </c>
      <c r="C34" s="150" t="s">
        <v>194</v>
      </c>
      <c r="D34" s="73" t="s">
        <v>318</v>
      </c>
      <c r="E34" s="74"/>
      <c r="F34" s="142"/>
      <c r="G34" s="191">
        <f>G35</f>
        <v>803.5</v>
      </c>
      <c r="H34" s="153">
        <f>H35</f>
        <v>0</v>
      </c>
      <c r="I34" s="88"/>
    </row>
    <row r="35" spans="1:9" s="48" customFormat="1" ht="15.75">
      <c r="A35" s="70" t="s">
        <v>146</v>
      </c>
      <c r="B35" s="190" t="s">
        <v>186</v>
      </c>
      <c r="C35" s="150" t="s">
        <v>194</v>
      </c>
      <c r="D35" s="73" t="s">
        <v>318</v>
      </c>
      <c r="E35" s="74" t="s">
        <v>278</v>
      </c>
      <c r="F35" s="142" t="s">
        <v>278</v>
      </c>
      <c r="G35" s="191">
        <f>'Прилож №5'!H483</f>
        <v>803.5</v>
      </c>
      <c r="H35" s="153">
        <f>'Прилож №5'!I483</f>
        <v>0</v>
      </c>
      <c r="I35" s="88"/>
    </row>
    <row r="36" spans="1:9" s="48" customFormat="1" ht="15.75">
      <c r="A36" s="69" t="s">
        <v>319</v>
      </c>
      <c r="B36" s="190" t="s">
        <v>186</v>
      </c>
      <c r="C36" s="150" t="s">
        <v>194</v>
      </c>
      <c r="D36" s="73" t="s">
        <v>320</v>
      </c>
      <c r="E36" s="74"/>
      <c r="F36" s="142"/>
      <c r="G36" s="191">
        <f>G37</f>
        <v>803.5</v>
      </c>
      <c r="H36" s="153">
        <f>H37</f>
        <v>0</v>
      </c>
      <c r="I36" s="88"/>
    </row>
    <row r="37" spans="1:9" s="48" customFormat="1" ht="16.5" customHeight="1" thickBot="1">
      <c r="A37" s="320" t="s">
        <v>146</v>
      </c>
      <c r="B37" s="190" t="s">
        <v>186</v>
      </c>
      <c r="C37" s="150" t="s">
        <v>194</v>
      </c>
      <c r="D37" s="326" t="s">
        <v>320</v>
      </c>
      <c r="E37" s="321" t="s">
        <v>278</v>
      </c>
      <c r="F37" s="322" t="s">
        <v>278</v>
      </c>
      <c r="G37" s="191">
        <f>'Прилож №5'!H485</f>
        <v>803.5</v>
      </c>
      <c r="H37" s="153">
        <f>'Прилож №5'!I485</f>
        <v>0</v>
      </c>
      <c r="I37" s="88"/>
    </row>
    <row r="38" spans="1:9" s="48" customFormat="1" ht="15.75">
      <c r="A38" s="161" t="s">
        <v>16</v>
      </c>
      <c r="B38" s="188" t="s">
        <v>186</v>
      </c>
      <c r="C38" s="156" t="s">
        <v>189</v>
      </c>
      <c r="D38" s="157"/>
      <c r="E38" s="156"/>
      <c r="F38" s="157" t="s">
        <v>1</v>
      </c>
      <c r="G38" s="189">
        <f aca="true" t="shared" si="2" ref="G38:H40">G39</f>
        <v>6000</v>
      </c>
      <c r="H38" s="159">
        <f t="shared" si="2"/>
        <v>0</v>
      </c>
      <c r="I38" s="88"/>
    </row>
    <row r="39" spans="1:9" s="48" customFormat="1" ht="15.75">
      <c r="A39" s="162" t="s">
        <v>16</v>
      </c>
      <c r="B39" s="192" t="s">
        <v>186</v>
      </c>
      <c r="C39" s="163" t="s">
        <v>189</v>
      </c>
      <c r="D39" s="164" t="s">
        <v>19</v>
      </c>
      <c r="E39" s="150"/>
      <c r="F39" s="164"/>
      <c r="G39" s="193">
        <f t="shared" si="2"/>
        <v>6000</v>
      </c>
      <c r="H39" s="165">
        <f t="shared" si="2"/>
        <v>0</v>
      </c>
      <c r="I39" s="88"/>
    </row>
    <row r="40" spans="1:9" s="48" customFormat="1" ht="15.75">
      <c r="A40" s="149" t="s">
        <v>149</v>
      </c>
      <c r="B40" s="192" t="s">
        <v>186</v>
      </c>
      <c r="C40" s="163" t="s">
        <v>189</v>
      </c>
      <c r="D40" s="164" t="s">
        <v>150</v>
      </c>
      <c r="E40" s="150"/>
      <c r="F40" s="164"/>
      <c r="G40" s="193">
        <f t="shared" si="2"/>
        <v>6000</v>
      </c>
      <c r="H40" s="165">
        <f t="shared" si="2"/>
        <v>0</v>
      </c>
      <c r="I40" s="88"/>
    </row>
    <row r="41" spans="1:9" s="48" customFormat="1" ht="15.75">
      <c r="A41" s="154" t="s">
        <v>148</v>
      </c>
      <c r="B41" s="190" t="s">
        <v>186</v>
      </c>
      <c r="C41" s="150" t="s">
        <v>189</v>
      </c>
      <c r="D41" s="151" t="s">
        <v>150</v>
      </c>
      <c r="E41" s="150" t="s">
        <v>128</v>
      </c>
      <c r="F41" s="151"/>
      <c r="G41" s="191">
        <f>'Прилож №5'!H34</f>
        <v>6000</v>
      </c>
      <c r="H41" s="153">
        <f>'Прилож №5'!I34</f>
        <v>0</v>
      </c>
      <c r="I41" s="88"/>
    </row>
    <row r="42" spans="1:9" s="48" customFormat="1" ht="15.75">
      <c r="A42" s="161" t="s">
        <v>80</v>
      </c>
      <c r="B42" s="188" t="s">
        <v>186</v>
      </c>
      <c r="C42" s="156" t="s">
        <v>190</v>
      </c>
      <c r="D42" s="157"/>
      <c r="E42" s="156"/>
      <c r="F42" s="157"/>
      <c r="G42" s="189">
        <f>G43+G46+G49</f>
        <v>57685.6</v>
      </c>
      <c r="H42" s="159">
        <f>H43+H46</f>
        <v>0</v>
      </c>
      <c r="I42" s="88"/>
    </row>
    <row r="43" spans="1:9" s="48" customFormat="1" ht="45">
      <c r="A43" s="149" t="s">
        <v>305</v>
      </c>
      <c r="B43" s="190" t="s">
        <v>186</v>
      </c>
      <c r="C43" s="150" t="s">
        <v>190</v>
      </c>
      <c r="D43" s="151" t="s">
        <v>277</v>
      </c>
      <c r="E43" s="150"/>
      <c r="F43" s="151"/>
      <c r="G43" s="191">
        <f>G44</f>
        <v>26129.199999999997</v>
      </c>
      <c r="H43" s="153">
        <f>H44</f>
        <v>0</v>
      </c>
      <c r="I43" s="88"/>
    </row>
    <row r="44" spans="1:9" s="48" customFormat="1" ht="15.75">
      <c r="A44" s="166" t="s">
        <v>50</v>
      </c>
      <c r="B44" s="190" t="s">
        <v>186</v>
      </c>
      <c r="C44" s="150" t="s">
        <v>190</v>
      </c>
      <c r="D44" s="151" t="s">
        <v>279</v>
      </c>
      <c r="E44" s="150"/>
      <c r="F44" s="151"/>
      <c r="G44" s="191">
        <f>G45</f>
        <v>26129.199999999997</v>
      </c>
      <c r="H44" s="153">
        <f>H45</f>
        <v>0</v>
      </c>
      <c r="I44" s="88"/>
    </row>
    <row r="45" spans="1:9" s="48" customFormat="1" ht="15.75">
      <c r="A45" s="154" t="s">
        <v>146</v>
      </c>
      <c r="B45" s="190" t="s">
        <v>186</v>
      </c>
      <c r="C45" s="150" t="s">
        <v>190</v>
      </c>
      <c r="D45" s="151" t="s">
        <v>279</v>
      </c>
      <c r="E45" s="150" t="s">
        <v>278</v>
      </c>
      <c r="F45" s="151"/>
      <c r="G45" s="191">
        <f>'Прилож №5'!H384+'Прилож №5'!H440</f>
        <v>26129.199999999997</v>
      </c>
      <c r="H45" s="153">
        <f>'Прилож №5'!I384+'Прилож №5'!I440</f>
        <v>0</v>
      </c>
      <c r="I45" s="88"/>
    </row>
    <row r="46" spans="1:9" s="48" customFormat="1" ht="30">
      <c r="A46" s="149" t="s">
        <v>204</v>
      </c>
      <c r="B46" s="190" t="s">
        <v>186</v>
      </c>
      <c r="C46" s="150" t="s">
        <v>190</v>
      </c>
      <c r="D46" s="151" t="s">
        <v>138</v>
      </c>
      <c r="E46" s="150"/>
      <c r="F46" s="151"/>
      <c r="G46" s="191">
        <f>G47</f>
        <v>31056.4</v>
      </c>
      <c r="H46" s="153">
        <f>H47</f>
        <v>0</v>
      </c>
      <c r="I46" s="88"/>
    </row>
    <row r="47" spans="1:9" s="48" customFormat="1" ht="15.75">
      <c r="A47" s="149" t="s">
        <v>77</v>
      </c>
      <c r="B47" s="190" t="s">
        <v>186</v>
      </c>
      <c r="C47" s="150" t="s">
        <v>190</v>
      </c>
      <c r="D47" s="151" t="s">
        <v>203</v>
      </c>
      <c r="E47" s="150"/>
      <c r="F47" s="151"/>
      <c r="G47" s="191">
        <f>G48</f>
        <v>31056.4</v>
      </c>
      <c r="H47" s="153">
        <f>H48</f>
        <v>0</v>
      </c>
      <c r="I47" s="88"/>
    </row>
    <row r="48" spans="1:9" s="48" customFormat="1" ht="15.75">
      <c r="A48" s="217" t="s">
        <v>146</v>
      </c>
      <c r="B48" s="192" t="s">
        <v>186</v>
      </c>
      <c r="C48" s="163" t="s">
        <v>190</v>
      </c>
      <c r="D48" s="164" t="s">
        <v>203</v>
      </c>
      <c r="E48" s="163" t="s">
        <v>278</v>
      </c>
      <c r="F48" s="164"/>
      <c r="G48" s="193">
        <f>'Прилож №5'!H443+'Прилож №5'!H36</f>
        <v>31056.4</v>
      </c>
      <c r="H48" s="165">
        <f>'Прилож №5'!I443</f>
        <v>0</v>
      </c>
      <c r="I48" s="117"/>
    </row>
    <row r="49" spans="1:9" s="48" customFormat="1" ht="15.75">
      <c r="A49" s="166" t="s">
        <v>131</v>
      </c>
      <c r="B49" s="192" t="s">
        <v>186</v>
      </c>
      <c r="C49" s="163" t="s">
        <v>190</v>
      </c>
      <c r="D49" s="151" t="s">
        <v>132</v>
      </c>
      <c r="E49" s="150"/>
      <c r="F49" s="273"/>
      <c r="G49" s="185">
        <f>G50</f>
        <v>500</v>
      </c>
      <c r="H49" s="153"/>
      <c r="I49" s="117"/>
    </row>
    <row r="50" spans="1:9" s="48" customFormat="1" ht="26.25">
      <c r="A50" s="47" t="s">
        <v>354</v>
      </c>
      <c r="B50" s="192" t="s">
        <v>186</v>
      </c>
      <c r="C50" s="163" t="s">
        <v>190</v>
      </c>
      <c r="D50" s="151" t="s">
        <v>355</v>
      </c>
      <c r="E50" s="150"/>
      <c r="F50" s="273"/>
      <c r="G50" s="185">
        <f>G51</f>
        <v>500</v>
      </c>
      <c r="H50" s="153"/>
      <c r="I50" s="117"/>
    </row>
    <row r="51" spans="1:9" s="48" customFormat="1" ht="15.75">
      <c r="A51" s="70" t="s">
        <v>146</v>
      </c>
      <c r="B51" s="192" t="s">
        <v>186</v>
      </c>
      <c r="C51" s="163" t="s">
        <v>190</v>
      </c>
      <c r="D51" s="151" t="s">
        <v>355</v>
      </c>
      <c r="E51" s="150" t="s">
        <v>278</v>
      </c>
      <c r="F51" s="273"/>
      <c r="G51" s="185">
        <f>'Прилож №5'!H41</f>
        <v>500</v>
      </c>
      <c r="H51" s="153"/>
      <c r="I51" s="117"/>
    </row>
    <row r="52" spans="1:9" s="48" customFormat="1" ht="16.5" thickBot="1">
      <c r="A52" s="200" t="s">
        <v>81</v>
      </c>
      <c r="B52" s="253" t="s">
        <v>187</v>
      </c>
      <c r="C52" s="201" t="s">
        <v>126</v>
      </c>
      <c r="D52" s="220"/>
      <c r="E52" s="201"/>
      <c r="F52" s="220"/>
      <c r="G52" s="245">
        <f aca="true" t="shared" si="3" ref="G52:H55">G53</f>
        <v>1223.3</v>
      </c>
      <c r="H52" s="195">
        <f t="shared" si="3"/>
        <v>0</v>
      </c>
      <c r="I52" s="88"/>
    </row>
    <row r="53" spans="1:9" s="48" customFormat="1" ht="15.75">
      <c r="A53" s="172" t="s">
        <v>82</v>
      </c>
      <c r="B53" s="249" t="s">
        <v>187</v>
      </c>
      <c r="C53" s="146" t="s">
        <v>188</v>
      </c>
      <c r="D53" s="173"/>
      <c r="E53" s="146"/>
      <c r="F53" s="173"/>
      <c r="G53" s="243">
        <f t="shared" si="3"/>
        <v>1223.3</v>
      </c>
      <c r="H53" s="148">
        <f t="shared" si="3"/>
        <v>0</v>
      </c>
      <c r="I53" s="88"/>
    </row>
    <row r="54" spans="1:9" s="48" customFormat="1" ht="30">
      <c r="A54" s="149" t="s">
        <v>104</v>
      </c>
      <c r="B54" s="190" t="s">
        <v>187</v>
      </c>
      <c r="C54" s="150" t="s">
        <v>188</v>
      </c>
      <c r="D54" s="151" t="s">
        <v>83</v>
      </c>
      <c r="E54" s="150"/>
      <c r="F54" s="151"/>
      <c r="G54" s="191">
        <f t="shared" si="3"/>
        <v>1223.3</v>
      </c>
      <c r="H54" s="153">
        <f t="shared" si="3"/>
        <v>0</v>
      </c>
      <c r="I54" s="88"/>
    </row>
    <row r="55" spans="1:9" s="48" customFormat="1" ht="29.25" customHeight="1">
      <c r="A55" s="149" t="s">
        <v>105</v>
      </c>
      <c r="B55" s="190" t="s">
        <v>187</v>
      </c>
      <c r="C55" s="150" t="s">
        <v>188</v>
      </c>
      <c r="D55" s="151" t="s">
        <v>151</v>
      </c>
      <c r="E55" s="150"/>
      <c r="F55" s="258"/>
      <c r="G55" s="193">
        <f t="shared" si="3"/>
        <v>1223.3</v>
      </c>
      <c r="H55" s="165">
        <f t="shared" si="3"/>
        <v>0</v>
      </c>
      <c r="I55" s="88"/>
    </row>
    <row r="56" spans="1:9" s="48" customFormat="1" ht="15" customHeight="1" thickBot="1">
      <c r="A56" s="154" t="s">
        <v>146</v>
      </c>
      <c r="B56" s="192" t="s">
        <v>187</v>
      </c>
      <c r="C56" s="163" t="s">
        <v>188</v>
      </c>
      <c r="D56" s="164" t="s">
        <v>151</v>
      </c>
      <c r="E56" s="163" t="s">
        <v>278</v>
      </c>
      <c r="F56" s="258"/>
      <c r="G56" s="193">
        <f>'Прилож №5'!H46</f>
        <v>1223.3</v>
      </c>
      <c r="H56" s="165">
        <f>'Прилож №5'!I46</f>
        <v>0</v>
      </c>
      <c r="I56" s="88"/>
    </row>
    <row r="57" spans="1:9" s="178" customFormat="1" ht="32.25" customHeight="1" thickBot="1">
      <c r="A57" s="174" t="s">
        <v>115</v>
      </c>
      <c r="B57" s="251" t="s">
        <v>191</v>
      </c>
      <c r="C57" s="175" t="s">
        <v>126</v>
      </c>
      <c r="D57" s="176"/>
      <c r="E57" s="175"/>
      <c r="F57" s="177" t="s">
        <v>2</v>
      </c>
      <c r="G57" s="244">
        <f>G58+G74+G81</f>
        <v>29291.600000000002</v>
      </c>
      <c r="H57" s="358">
        <f>H58+H74+H81</f>
        <v>3491</v>
      </c>
      <c r="I57" s="117"/>
    </row>
    <row r="58" spans="1:9" s="23" customFormat="1" ht="15.75">
      <c r="A58" s="160" t="s">
        <v>20</v>
      </c>
      <c r="B58" s="249" t="s">
        <v>191</v>
      </c>
      <c r="C58" s="146" t="s">
        <v>187</v>
      </c>
      <c r="D58" s="173"/>
      <c r="E58" s="146"/>
      <c r="F58" s="173"/>
      <c r="G58" s="243">
        <f>G59</f>
        <v>20715.4</v>
      </c>
      <c r="H58" s="148">
        <f>H59</f>
        <v>3346</v>
      </c>
      <c r="I58" s="88"/>
    </row>
    <row r="59" spans="1:9" s="48" customFormat="1" ht="15.75">
      <c r="A59" s="166" t="s">
        <v>85</v>
      </c>
      <c r="B59" s="190" t="s">
        <v>191</v>
      </c>
      <c r="C59" s="150" t="s">
        <v>187</v>
      </c>
      <c r="D59" s="151" t="s">
        <v>52</v>
      </c>
      <c r="E59" s="150"/>
      <c r="F59" s="151"/>
      <c r="G59" s="191">
        <f>G60+G62+G64+G69+G72</f>
        <v>20715.4</v>
      </c>
      <c r="H59" s="153">
        <f>H60+H62+H64+H69+H72</f>
        <v>3346</v>
      </c>
      <c r="I59" s="88"/>
    </row>
    <row r="60" spans="1:9" s="48" customFormat="1" ht="60">
      <c r="A60" s="149" t="s">
        <v>153</v>
      </c>
      <c r="B60" s="190" t="s">
        <v>191</v>
      </c>
      <c r="C60" s="150" t="s">
        <v>187</v>
      </c>
      <c r="D60" s="151" t="s">
        <v>152</v>
      </c>
      <c r="E60" s="150"/>
      <c r="F60" s="151"/>
      <c r="G60" s="191">
        <f>G61</f>
        <v>3197.4</v>
      </c>
      <c r="H60" s="153">
        <f>H61</f>
        <v>2776</v>
      </c>
      <c r="I60" s="88"/>
    </row>
    <row r="61" spans="1:9" s="48" customFormat="1" ht="30" customHeight="1">
      <c r="A61" s="149" t="s">
        <v>154</v>
      </c>
      <c r="B61" s="190" t="s">
        <v>191</v>
      </c>
      <c r="C61" s="150" t="s">
        <v>187</v>
      </c>
      <c r="D61" s="151" t="s">
        <v>152</v>
      </c>
      <c r="E61" s="150" t="s">
        <v>129</v>
      </c>
      <c r="F61" s="151"/>
      <c r="G61" s="191">
        <f>'Прилож №5'!H465</f>
        <v>3197.4</v>
      </c>
      <c r="H61" s="153">
        <f>'Прилож №5'!I465</f>
        <v>2776</v>
      </c>
      <c r="I61" s="88"/>
    </row>
    <row r="62" spans="1:9" s="48" customFormat="1" ht="15.75">
      <c r="A62" s="166" t="s">
        <v>155</v>
      </c>
      <c r="B62" s="190" t="s">
        <v>191</v>
      </c>
      <c r="C62" s="150" t="s">
        <v>187</v>
      </c>
      <c r="D62" s="151" t="s">
        <v>156</v>
      </c>
      <c r="E62" s="150"/>
      <c r="F62" s="151"/>
      <c r="G62" s="191">
        <f>G63</f>
        <v>11427.6</v>
      </c>
      <c r="H62" s="153">
        <f>H63</f>
        <v>0</v>
      </c>
      <c r="I62" s="88"/>
    </row>
    <row r="63" spans="1:9" s="48" customFormat="1" ht="30" customHeight="1">
      <c r="A63" s="149" t="s">
        <v>154</v>
      </c>
      <c r="B63" s="190" t="s">
        <v>191</v>
      </c>
      <c r="C63" s="150" t="s">
        <v>187</v>
      </c>
      <c r="D63" s="151" t="s">
        <v>157</v>
      </c>
      <c r="E63" s="150" t="s">
        <v>129</v>
      </c>
      <c r="F63" s="151"/>
      <c r="G63" s="191">
        <f>'Прилож №5'!H467</f>
        <v>11427.6</v>
      </c>
      <c r="H63" s="153">
        <f>'Прилож №5'!I467</f>
        <v>0</v>
      </c>
      <c r="I63" s="88"/>
    </row>
    <row r="64" spans="1:9" s="48" customFormat="1" ht="30">
      <c r="A64" s="149" t="s">
        <v>158</v>
      </c>
      <c r="B64" s="190" t="s">
        <v>191</v>
      </c>
      <c r="C64" s="150" t="s">
        <v>187</v>
      </c>
      <c r="D64" s="151" t="s">
        <v>159</v>
      </c>
      <c r="E64" s="150"/>
      <c r="F64" s="151"/>
      <c r="G64" s="191">
        <f>G65+G67</f>
        <v>5735.4</v>
      </c>
      <c r="H64" s="153">
        <f>H65+H67</f>
        <v>570</v>
      </c>
      <c r="I64" s="88"/>
    </row>
    <row r="65" spans="1:9" s="48" customFormat="1" ht="15.75">
      <c r="A65" s="166" t="s">
        <v>160</v>
      </c>
      <c r="B65" s="190" t="s">
        <v>191</v>
      </c>
      <c r="C65" s="150" t="s">
        <v>187</v>
      </c>
      <c r="D65" s="151" t="s">
        <v>161</v>
      </c>
      <c r="E65" s="150"/>
      <c r="F65" s="151"/>
      <c r="G65" s="191">
        <f>G66</f>
        <v>628</v>
      </c>
      <c r="H65" s="153">
        <f>H66</f>
        <v>0</v>
      </c>
      <c r="I65" s="88"/>
    </row>
    <row r="66" spans="1:9" s="48" customFormat="1" ht="32.25" customHeight="1">
      <c r="A66" s="149" t="s">
        <v>154</v>
      </c>
      <c r="B66" s="190" t="s">
        <v>191</v>
      </c>
      <c r="C66" s="150" t="s">
        <v>187</v>
      </c>
      <c r="D66" s="151" t="s">
        <v>161</v>
      </c>
      <c r="E66" s="150" t="s">
        <v>129</v>
      </c>
      <c r="F66" s="151"/>
      <c r="G66" s="191">
        <f>'Прилож №5'!H470</f>
        <v>628</v>
      </c>
      <c r="H66" s="153">
        <f>'Прилож №5'!I470</f>
        <v>0</v>
      </c>
      <c r="I66" s="88"/>
    </row>
    <row r="67" spans="1:9" s="48" customFormat="1" ht="30">
      <c r="A67" s="149" t="s">
        <v>163</v>
      </c>
      <c r="B67" s="190" t="s">
        <v>191</v>
      </c>
      <c r="C67" s="150" t="s">
        <v>187</v>
      </c>
      <c r="D67" s="151" t="s">
        <v>162</v>
      </c>
      <c r="E67" s="150"/>
      <c r="F67" s="151"/>
      <c r="G67" s="191">
        <f>G68</f>
        <v>5107.4</v>
      </c>
      <c r="H67" s="153">
        <f>H68</f>
        <v>570</v>
      </c>
      <c r="I67" s="88"/>
    </row>
    <row r="68" spans="1:9" s="48" customFormat="1" ht="31.5" customHeight="1">
      <c r="A68" s="149" t="s">
        <v>154</v>
      </c>
      <c r="B68" s="190" t="s">
        <v>191</v>
      </c>
      <c r="C68" s="150" t="s">
        <v>187</v>
      </c>
      <c r="D68" s="151" t="s">
        <v>162</v>
      </c>
      <c r="E68" s="150" t="s">
        <v>129</v>
      </c>
      <c r="F68" s="151"/>
      <c r="G68" s="191">
        <f>'Прилож №5'!H472</f>
        <v>5107.4</v>
      </c>
      <c r="H68" s="153">
        <f>'Прилож №5'!I472</f>
        <v>570</v>
      </c>
      <c r="I68" s="88"/>
    </row>
    <row r="69" spans="1:9" s="48" customFormat="1" ht="15.75">
      <c r="A69" s="166" t="s">
        <v>53</v>
      </c>
      <c r="B69" s="190" t="s">
        <v>191</v>
      </c>
      <c r="C69" s="150" t="s">
        <v>187</v>
      </c>
      <c r="D69" s="151" t="s">
        <v>164</v>
      </c>
      <c r="E69" s="150"/>
      <c r="F69" s="151"/>
      <c r="G69" s="191">
        <f>G70</f>
        <v>250</v>
      </c>
      <c r="H69" s="153">
        <f>H70</f>
        <v>0</v>
      </c>
      <c r="I69" s="88"/>
    </row>
    <row r="70" spans="1:9" s="48" customFormat="1" ht="15.75">
      <c r="A70" s="166" t="s">
        <v>165</v>
      </c>
      <c r="B70" s="190" t="s">
        <v>191</v>
      </c>
      <c r="C70" s="150" t="s">
        <v>187</v>
      </c>
      <c r="D70" s="151" t="s">
        <v>166</v>
      </c>
      <c r="E70" s="150"/>
      <c r="F70" s="151"/>
      <c r="G70" s="191">
        <f>G71</f>
        <v>250</v>
      </c>
      <c r="H70" s="153">
        <f>H71</f>
        <v>0</v>
      </c>
      <c r="I70" s="88"/>
    </row>
    <row r="71" spans="1:9" s="48" customFormat="1" ht="31.5" customHeight="1">
      <c r="A71" s="149" t="s">
        <v>154</v>
      </c>
      <c r="B71" s="190" t="s">
        <v>191</v>
      </c>
      <c r="C71" s="150" t="s">
        <v>187</v>
      </c>
      <c r="D71" s="151" t="s">
        <v>166</v>
      </c>
      <c r="E71" s="150" t="s">
        <v>129</v>
      </c>
      <c r="F71" s="151"/>
      <c r="G71" s="191">
        <f>'Прилож №5'!H475</f>
        <v>250</v>
      </c>
      <c r="H71" s="153">
        <f>'Прилож №5'!I475</f>
        <v>0</v>
      </c>
      <c r="I71" s="117"/>
    </row>
    <row r="72" spans="1:9" s="48" customFormat="1" ht="30">
      <c r="A72" s="149" t="s">
        <v>106</v>
      </c>
      <c r="B72" s="190" t="s">
        <v>191</v>
      </c>
      <c r="C72" s="150" t="s">
        <v>187</v>
      </c>
      <c r="D72" s="151" t="s">
        <v>167</v>
      </c>
      <c r="E72" s="150"/>
      <c r="F72" s="151"/>
      <c r="G72" s="191">
        <f>G73</f>
        <v>105</v>
      </c>
      <c r="H72" s="153">
        <f>H73</f>
        <v>0</v>
      </c>
      <c r="I72" s="88"/>
    </row>
    <row r="73" spans="1:9" s="48" customFormat="1" ht="15.75">
      <c r="A73" s="162" t="s">
        <v>168</v>
      </c>
      <c r="B73" s="192" t="s">
        <v>191</v>
      </c>
      <c r="C73" s="163" t="s">
        <v>187</v>
      </c>
      <c r="D73" s="164" t="s">
        <v>167</v>
      </c>
      <c r="E73" s="163" t="s">
        <v>51</v>
      </c>
      <c r="F73" s="164"/>
      <c r="G73" s="193">
        <f>'Прилож №5'!H477</f>
        <v>105</v>
      </c>
      <c r="H73" s="165">
        <f>'Прилож №5'!I477</f>
        <v>0</v>
      </c>
      <c r="I73" s="88"/>
    </row>
    <row r="74" spans="1:9" s="48" customFormat="1" ht="31.5" customHeight="1">
      <c r="A74" s="155" t="s">
        <v>169</v>
      </c>
      <c r="B74" s="188" t="s">
        <v>191</v>
      </c>
      <c r="C74" s="156" t="s">
        <v>192</v>
      </c>
      <c r="D74" s="157"/>
      <c r="E74" s="156"/>
      <c r="F74" s="158"/>
      <c r="G74" s="216">
        <f>G78+G75</f>
        <v>3653.2</v>
      </c>
      <c r="H74" s="159">
        <f>H78+H75</f>
        <v>0</v>
      </c>
      <c r="I74" s="88"/>
    </row>
    <row r="75" spans="1:9" s="48" customFormat="1" ht="27" customHeight="1">
      <c r="A75" s="196" t="s">
        <v>139</v>
      </c>
      <c r="B75" s="252" t="s">
        <v>191</v>
      </c>
      <c r="C75" s="179" t="s">
        <v>192</v>
      </c>
      <c r="D75" s="180" t="s">
        <v>140</v>
      </c>
      <c r="E75" s="179"/>
      <c r="F75" s="180"/>
      <c r="G75" s="197">
        <f>G76</f>
        <v>2245.2</v>
      </c>
      <c r="H75" s="181">
        <f>H76</f>
        <v>0</v>
      </c>
      <c r="I75" s="88"/>
    </row>
    <row r="76" spans="1:9" s="48" customFormat="1" ht="27" customHeight="1">
      <c r="A76" s="196" t="s">
        <v>141</v>
      </c>
      <c r="B76" s="252" t="s">
        <v>191</v>
      </c>
      <c r="C76" s="179" t="s">
        <v>192</v>
      </c>
      <c r="D76" s="180" t="s">
        <v>170</v>
      </c>
      <c r="E76" s="179"/>
      <c r="F76" s="180"/>
      <c r="G76" s="197">
        <f>G77</f>
        <v>2245.2</v>
      </c>
      <c r="H76" s="181">
        <f>H77</f>
        <v>0</v>
      </c>
      <c r="I76" s="88"/>
    </row>
    <row r="77" spans="1:9" s="48" customFormat="1" ht="18" customHeight="1">
      <c r="A77" s="196" t="s">
        <v>148</v>
      </c>
      <c r="B77" s="190" t="s">
        <v>191</v>
      </c>
      <c r="C77" s="150" t="s">
        <v>192</v>
      </c>
      <c r="D77" s="151" t="s">
        <v>170</v>
      </c>
      <c r="E77" s="150" t="s">
        <v>128</v>
      </c>
      <c r="F77" s="151"/>
      <c r="G77" s="191">
        <f>'Прилож №5'!H51</f>
        <v>2245.2</v>
      </c>
      <c r="H77" s="153">
        <f>'Прилож №5'!I51</f>
        <v>0</v>
      </c>
      <c r="I77" s="88"/>
    </row>
    <row r="78" spans="1:9" s="48" customFormat="1" ht="15.75">
      <c r="A78" s="166" t="s">
        <v>21</v>
      </c>
      <c r="B78" s="190" t="s">
        <v>191</v>
      </c>
      <c r="C78" s="150" t="s">
        <v>192</v>
      </c>
      <c r="D78" s="151" t="s">
        <v>22</v>
      </c>
      <c r="E78" s="150"/>
      <c r="F78" s="151"/>
      <c r="G78" s="191">
        <f>G79</f>
        <v>1408</v>
      </c>
      <c r="H78" s="153">
        <f>H79</f>
        <v>0</v>
      </c>
      <c r="I78" s="88"/>
    </row>
    <row r="79" spans="1:9" s="48" customFormat="1" ht="30">
      <c r="A79" s="149" t="s">
        <v>118</v>
      </c>
      <c r="B79" s="192" t="s">
        <v>191</v>
      </c>
      <c r="C79" s="150" t="s">
        <v>192</v>
      </c>
      <c r="D79" s="151" t="s">
        <v>171</v>
      </c>
      <c r="E79" s="150"/>
      <c r="F79" s="151" t="s">
        <v>4</v>
      </c>
      <c r="G79" s="191">
        <f>G80</f>
        <v>1408</v>
      </c>
      <c r="H79" s="153">
        <f>H80</f>
        <v>0</v>
      </c>
      <c r="I79" s="88"/>
    </row>
    <row r="80" spans="1:9" s="48" customFormat="1" ht="15.75">
      <c r="A80" s="149" t="s">
        <v>172</v>
      </c>
      <c r="B80" s="192" t="s">
        <v>191</v>
      </c>
      <c r="C80" s="150" t="s">
        <v>192</v>
      </c>
      <c r="D80" s="151" t="s">
        <v>171</v>
      </c>
      <c r="E80" s="150" t="s">
        <v>86</v>
      </c>
      <c r="F80" s="151"/>
      <c r="G80" s="191">
        <f>'Прилож №5'!H54</f>
        <v>1408</v>
      </c>
      <c r="H80" s="153">
        <f>'Прилож №5'!I54</f>
        <v>0</v>
      </c>
      <c r="I80" s="88"/>
    </row>
    <row r="81" spans="1:9" s="48" customFormat="1" ht="29.25">
      <c r="A81" s="155" t="s">
        <v>107</v>
      </c>
      <c r="B81" s="188" t="s">
        <v>191</v>
      </c>
      <c r="C81" s="156" t="s">
        <v>190</v>
      </c>
      <c r="D81" s="157"/>
      <c r="E81" s="156"/>
      <c r="F81" s="157"/>
      <c r="G81" s="191">
        <f>G82+G86</f>
        <v>4923</v>
      </c>
      <c r="H81" s="153">
        <f>H82+H86</f>
        <v>145</v>
      </c>
      <c r="I81" s="88"/>
    </row>
    <row r="82" spans="1:9" s="48" customFormat="1" ht="33" customHeight="1">
      <c r="A82" s="183" t="s">
        <v>173</v>
      </c>
      <c r="B82" s="192" t="s">
        <v>191</v>
      </c>
      <c r="C82" s="150" t="s">
        <v>190</v>
      </c>
      <c r="D82" s="151" t="s">
        <v>84</v>
      </c>
      <c r="E82" s="150"/>
      <c r="F82" s="151"/>
      <c r="G82" s="191">
        <f>G83</f>
        <v>1483</v>
      </c>
      <c r="H82" s="153">
        <f>H83</f>
        <v>145</v>
      </c>
      <c r="I82" s="88"/>
    </row>
    <row r="83" spans="1:9" s="48" customFormat="1" ht="14.25" customHeight="1">
      <c r="A83" s="162" t="s">
        <v>27</v>
      </c>
      <c r="B83" s="192" t="s">
        <v>191</v>
      </c>
      <c r="C83" s="163" t="s">
        <v>190</v>
      </c>
      <c r="D83" s="164" t="s">
        <v>174</v>
      </c>
      <c r="E83" s="163"/>
      <c r="F83" s="164"/>
      <c r="G83" s="193">
        <f>G84+G85</f>
        <v>1483</v>
      </c>
      <c r="H83" s="165">
        <f>H84+H85</f>
        <v>145</v>
      </c>
      <c r="I83" s="88"/>
    </row>
    <row r="84" spans="1:9" s="48" customFormat="1" ht="19.5" customHeight="1">
      <c r="A84" s="166" t="s">
        <v>146</v>
      </c>
      <c r="B84" s="192" t="s">
        <v>191</v>
      </c>
      <c r="C84" s="163" t="s">
        <v>190</v>
      </c>
      <c r="D84" s="164" t="s">
        <v>174</v>
      </c>
      <c r="E84" s="163" t="s">
        <v>278</v>
      </c>
      <c r="F84" s="164"/>
      <c r="G84" s="193">
        <f>'Прилож №5'!H58</f>
        <v>1338</v>
      </c>
      <c r="H84" s="165">
        <f>'Прилож №5'!I58</f>
        <v>0</v>
      </c>
      <c r="I84" s="117"/>
    </row>
    <row r="85" spans="1:9" s="48" customFormat="1" ht="14.25" customHeight="1">
      <c r="A85" s="149" t="s">
        <v>172</v>
      </c>
      <c r="B85" s="192" t="s">
        <v>191</v>
      </c>
      <c r="C85" s="163" t="s">
        <v>190</v>
      </c>
      <c r="D85" s="164" t="s">
        <v>174</v>
      </c>
      <c r="E85" s="163" t="s">
        <v>86</v>
      </c>
      <c r="F85" s="164"/>
      <c r="G85" s="199">
        <f>'Прилож №5'!H253</f>
        <v>145</v>
      </c>
      <c r="H85" s="366">
        <f>'Прилож №5'!I253</f>
        <v>145</v>
      </c>
      <c r="I85" s="117"/>
    </row>
    <row r="86" spans="1:9" s="48" customFormat="1" ht="13.5" customHeight="1">
      <c r="A86" s="166" t="s">
        <v>131</v>
      </c>
      <c r="B86" s="190" t="s">
        <v>191</v>
      </c>
      <c r="C86" s="150" t="s">
        <v>190</v>
      </c>
      <c r="D86" s="151" t="s">
        <v>132</v>
      </c>
      <c r="E86" s="150"/>
      <c r="F86" s="152"/>
      <c r="G86" s="185">
        <f>G87+G89</f>
        <v>3440</v>
      </c>
      <c r="H86" s="153">
        <f>H87</f>
        <v>0</v>
      </c>
      <c r="I86" s="117"/>
    </row>
    <row r="87" spans="1:9" s="48" customFormat="1" ht="42" customHeight="1">
      <c r="A87" s="47" t="s">
        <v>378</v>
      </c>
      <c r="B87" s="190" t="s">
        <v>191</v>
      </c>
      <c r="C87" s="150" t="s">
        <v>190</v>
      </c>
      <c r="D87" s="151" t="s">
        <v>263</v>
      </c>
      <c r="E87" s="150"/>
      <c r="F87" s="152"/>
      <c r="G87" s="185">
        <f>G88</f>
        <v>3440</v>
      </c>
      <c r="H87" s="153">
        <f>H88</f>
        <v>0</v>
      </c>
      <c r="I87" s="117"/>
    </row>
    <row r="88" spans="1:9" s="48" customFormat="1" ht="15" customHeight="1">
      <c r="A88" s="166" t="s">
        <v>146</v>
      </c>
      <c r="B88" s="190" t="s">
        <v>191</v>
      </c>
      <c r="C88" s="150" t="s">
        <v>190</v>
      </c>
      <c r="D88" s="151" t="s">
        <v>263</v>
      </c>
      <c r="E88" s="150" t="s">
        <v>278</v>
      </c>
      <c r="F88" s="152"/>
      <c r="G88" s="185">
        <f>'Прилож №5'!H61</f>
        <v>3440</v>
      </c>
      <c r="H88" s="153">
        <f>'Прилож №5'!I61</f>
        <v>0</v>
      </c>
      <c r="I88" s="117"/>
    </row>
    <row r="89" spans="1:9" s="48" customFormat="1" ht="43.5" customHeight="1">
      <c r="A89" s="47" t="s">
        <v>289</v>
      </c>
      <c r="B89" s="190" t="s">
        <v>191</v>
      </c>
      <c r="C89" s="150" t="s">
        <v>190</v>
      </c>
      <c r="D89" s="151" t="s">
        <v>288</v>
      </c>
      <c r="E89" s="150"/>
      <c r="F89" s="152"/>
      <c r="G89" s="185">
        <f>G90</f>
        <v>0</v>
      </c>
      <c r="H89" s="153"/>
      <c r="I89" s="117"/>
    </row>
    <row r="90" spans="1:9" s="48" customFormat="1" ht="15" customHeight="1" thickBot="1">
      <c r="A90" s="27" t="s">
        <v>146</v>
      </c>
      <c r="B90" s="190" t="s">
        <v>191</v>
      </c>
      <c r="C90" s="150" t="s">
        <v>190</v>
      </c>
      <c r="D90" s="151" t="s">
        <v>288</v>
      </c>
      <c r="E90" s="150" t="s">
        <v>278</v>
      </c>
      <c r="F90" s="152"/>
      <c r="G90" s="185">
        <f>'Прилож №5'!H63</f>
        <v>0</v>
      </c>
      <c r="H90" s="153"/>
      <c r="I90" s="117"/>
    </row>
    <row r="91" spans="1:9" s="48" customFormat="1" ht="16.5" thickBot="1">
      <c r="A91" s="168" t="s">
        <v>65</v>
      </c>
      <c r="B91" s="250" t="s">
        <v>188</v>
      </c>
      <c r="C91" s="169" t="s">
        <v>126</v>
      </c>
      <c r="D91" s="170"/>
      <c r="E91" s="169"/>
      <c r="F91" s="194"/>
      <c r="G91" s="184">
        <f>G92+G97+G102</f>
        <v>30410.699999999997</v>
      </c>
      <c r="H91" s="171">
        <f>H92+H97+H102</f>
        <v>0</v>
      </c>
      <c r="I91" s="88"/>
    </row>
    <row r="92" spans="1:9" s="3" customFormat="1" ht="15.75" customHeight="1">
      <c r="A92" s="161" t="s">
        <v>98</v>
      </c>
      <c r="B92" s="188" t="s">
        <v>188</v>
      </c>
      <c r="C92" s="156" t="s">
        <v>195</v>
      </c>
      <c r="D92" s="157"/>
      <c r="E92" s="156"/>
      <c r="F92" s="158"/>
      <c r="G92" s="216">
        <f>G93</f>
        <v>19496</v>
      </c>
      <c r="H92" s="159">
        <f>H93</f>
        <v>0</v>
      </c>
      <c r="I92" s="118"/>
    </row>
    <row r="93" spans="1:9" s="2" customFormat="1" ht="15.75" customHeight="1">
      <c r="A93" s="166" t="s">
        <v>175</v>
      </c>
      <c r="B93" s="190" t="s">
        <v>188</v>
      </c>
      <c r="C93" s="150" t="s">
        <v>195</v>
      </c>
      <c r="D93" s="151" t="s">
        <v>176</v>
      </c>
      <c r="E93" s="150"/>
      <c r="F93" s="152"/>
      <c r="G93" s="185">
        <f aca="true" t="shared" si="4" ref="G93:H95">G94</f>
        <v>19496</v>
      </c>
      <c r="H93" s="153">
        <f t="shared" si="4"/>
        <v>0</v>
      </c>
      <c r="I93" s="88"/>
    </row>
    <row r="94" spans="1:9" s="2" customFormat="1" ht="15.75" customHeight="1">
      <c r="A94" s="166" t="s">
        <v>177</v>
      </c>
      <c r="B94" s="190" t="s">
        <v>188</v>
      </c>
      <c r="C94" s="150" t="s">
        <v>195</v>
      </c>
      <c r="D94" s="151" t="s">
        <v>178</v>
      </c>
      <c r="E94" s="150"/>
      <c r="F94" s="152"/>
      <c r="G94" s="185">
        <f t="shared" si="4"/>
        <v>19496</v>
      </c>
      <c r="H94" s="153">
        <f t="shared" si="4"/>
        <v>0</v>
      </c>
      <c r="I94" s="88"/>
    </row>
    <row r="95" spans="1:9" s="2" customFormat="1" ht="40.5" customHeight="1">
      <c r="A95" s="149" t="s">
        <v>179</v>
      </c>
      <c r="B95" s="190" t="s">
        <v>188</v>
      </c>
      <c r="C95" s="150" t="s">
        <v>195</v>
      </c>
      <c r="D95" s="151" t="s">
        <v>180</v>
      </c>
      <c r="E95" s="150"/>
      <c r="F95" s="152"/>
      <c r="G95" s="185">
        <f t="shared" si="4"/>
        <v>19496</v>
      </c>
      <c r="H95" s="153">
        <f t="shared" si="4"/>
        <v>0</v>
      </c>
      <c r="I95" s="88"/>
    </row>
    <row r="96" spans="1:9" s="2" customFormat="1" ht="15.75" customHeight="1">
      <c r="A96" s="154" t="s">
        <v>181</v>
      </c>
      <c r="B96" s="190" t="s">
        <v>188</v>
      </c>
      <c r="C96" s="150" t="s">
        <v>195</v>
      </c>
      <c r="D96" s="151" t="s">
        <v>180</v>
      </c>
      <c r="E96" s="150" t="s">
        <v>87</v>
      </c>
      <c r="F96" s="152"/>
      <c r="G96" s="185">
        <f>'Прилож №5'!H69</f>
        <v>19496</v>
      </c>
      <c r="H96" s="153">
        <f>'Прилож №5'!I69</f>
        <v>0</v>
      </c>
      <c r="I96" s="88"/>
    </row>
    <row r="97" spans="1:9" s="3" customFormat="1" ht="15.75" customHeight="1">
      <c r="A97" s="160" t="s">
        <v>99</v>
      </c>
      <c r="B97" s="188" t="s">
        <v>188</v>
      </c>
      <c r="C97" s="156" t="s">
        <v>192</v>
      </c>
      <c r="D97" s="157"/>
      <c r="E97" s="156"/>
      <c r="F97" s="157"/>
      <c r="G97" s="186">
        <f>G98</f>
        <v>5189.1</v>
      </c>
      <c r="H97" s="159">
        <f>H98</f>
        <v>0</v>
      </c>
      <c r="I97" s="88"/>
    </row>
    <row r="98" spans="1:9" s="2" customFormat="1" ht="15.75" customHeight="1">
      <c r="A98" s="154" t="s">
        <v>99</v>
      </c>
      <c r="B98" s="190" t="s">
        <v>188</v>
      </c>
      <c r="C98" s="150" t="s">
        <v>192</v>
      </c>
      <c r="D98" s="151" t="s">
        <v>196</v>
      </c>
      <c r="E98" s="150"/>
      <c r="F98" s="151"/>
      <c r="G98" s="187">
        <f>G99</f>
        <v>5189.1</v>
      </c>
      <c r="H98" s="153">
        <f>H99</f>
        <v>0</v>
      </c>
      <c r="I98" s="88"/>
    </row>
    <row r="99" spans="1:9" s="2" customFormat="1" ht="15.75" customHeight="1">
      <c r="A99" s="154" t="s">
        <v>197</v>
      </c>
      <c r="B99" s="190" t="s">
        <v>188</v>
      </c>
      <c r="C99" s="150" t="s">
        <v>192</v>
      </c>
      <c r="D99" s="151" t="s">
        <v>198</v>
      </c>
      <c r="E99" s="150"/>
      <c r="F99" s="151"/>
      <c r="G99" s="187">
        <f>G100</f>
        <v>5189.1</v>
      </c>
      <c r="H99" s="153">
        <f>H101</f>
        <v>0</v>
      </c>
      <c r="I99" s="88"/>
    </row>
    <row r="100" spans="1:9" s="2" customFormat="1" ht="15.75" customHeight="1">
      <c r="A100" s="154" t="s">
        <v>321</v>
      </c>
      <c r="B100" s="190" t="s">
        <v>188</v>
      </c>
      <c r="C100" s="150" t="s">
        <v>192</v>
      </c>
      <c r="D100" s="151" t="s">
        <v>324</v>
      </c>
      <c r="E100" s="150"/>
      <c r="F100" s="151"/>
      <c r="G100" s="187">
        <f>G101</f>
        <v>5189.1</v>
      </c>
      <c r="H100" s="153"/>
      <c r="I100" s="88"/>
    </row>
    <row r="101" spans="1:9" s="2" customFormat="1" ht="15.75" customHeight="1">
      <c r="A101" s="154" t="s">
        <v>323</v>
      </c>
      <c r="B101" s="190" t="s">
        <v>188</v>
      </c>
      <c r="C101" s="150" t="s">
        <v>192</v>
      </c>
      <c r="D101" s="151" t="s">
        <v>322</v>
      </c>
      <c r="E101" s="150" t="s">
        <v>127</v>
      </c>
      <c r="F101" s="151"/>
      <c r="G101" s="187">
        <f>'Прилож №5'!H74</f>
        <v>5189.1</v>
      </c>
      <c r="H101" s="153">
        <f>'Прилож №5'!I74</f>
        <v>0</v>
      </c>
      <c r="I101" s="88"/>
    </row>
    <row r="102" spans="1:9" s="23" customFormat="1" ht="15.75">
      <c r="A102" s="160" t="s">
        <v>66</v>
      </c>
      <c r="B102" s="188" t="s">
        <v>188</v>
      </c>
      <c r="C102" s="156" t="s">
        <v>189</v>
      </c>
      <c r="D102" s="157"/>
      <c r="E102" s="156"/>
      <c r="F102" s="157"/>
      <c r="G102" s="189">
        <f>G105+G108+G103</f>
        <v>5725.6</v>
      </c>
      <c r="H102" s="159">
        <f>H105+H108</f>
        <v>0</v>
      </c>
      <c r="I102" s="88"/>
    </row>
    <row r="103" spans="1:9" s="23" customFormat="1" ht="15.75">
      <c r="A103" s="35" t="s">
        <v>438</v>
      </c>
      <c r="B103" s="190" t="s">
        <v>188</v>
      </c>
      <c r="C103" s="150" t="s">
        <v>189</v>
      </c>
      <c r="D103" s="151" t="s">
        <v>439</v>
      </c>
      <c r="E103" s="150"/>
      <c r="F103" s="151"/>
      <c r="G103" s="191">
        <f>G104</f>
        <v>4341.3</v>
      </c>
      <c r="H103" s="153"/>
      <c r="I103" s="88"/>
    </row>
    <row r="104" spans="1:9" s="23" customFormat="1" ht="15.75">
      <c r="A104" s="27" t="s">
        <v>146</v>
      </c>
      <c r="B104" s="190" t="s">
        <v>188</v>
      </c>
      <c r="C104" s="150" t="s">
        <v>189</v>
      </c>
      <c r="D104" s="151" t="s">
        <v>439</v>
      </c>
      <c r="E104" s="150" t="s">
        <v>278</v>
      </c>
      <c r="F104" s="151"/>
      <c r="G104" s="191">
        <f>'Прилож №5'!H77</f>
        <v>4341.3</v>
      </c>
      <c r="H104" s="153"/>
      <c r="I104" s="88"/>
    </row>
    <row r="105" spans="1:9" s="48" customFormat="1" ht="30">
      <c r="A105" s="149" t="s">
        <v>109</v>
      </c>
      <c r="B105" s="190" t="s">
        <v>188</v>
      </c>
      <c r="C105" s="150" t="s">
        <v>189</v>
      </c>
      <c r="D105" s="151" t="s">
        <v>76</v>
      </c>
      <c r="E105" s="150"/>
      <c r="F105" s="151"/>
      <c r="G105" s="191">
        <f>G106</f>
        <v>1022</v>
      </c>
      <c r="H105" s="153">
        <f>H107</f>
        <v>0</v>
      </c>
      <c r="I105" s="88"/>
    </row>
    <row r="106" spans="1:9" s="48" customFormat="1" ht="15.75">
      <c r="A106" s="367" t="s">
        <v>349</v>
      </c>
      <c r="B106" s="190" t="s">
        <v>188</v>
      </c>
      <c r="C106" s="150" t="s">
        <v>189</v>
      </c>
      <c r="D106" s="151" t="s">
        <v>350</v>
      </c>
      <c r="E106" s="163"/>
      <c r="F106" s="164"/>
      <c r="G106" s="193">
        <f>G107</f>
        <v>1022</v>
      </c>
      <c r="H106" s="165"/>
      <c r="I106" s="88"/>
    </row>
    <row r="107" spans="1:9" s="48" customFormat="1" ht="15.75">
      <c r="A107" s="217" t="s">
        <v>146</v>
      </c>
      <c r="B107" s="192" t="s">
        <v>188</v>
      </c>
      <c r="C107" s="163" t="s">
        <v>189</v>
      </c>
      <c r="D107" s="164" t="s">
        <v>350</v>
      </c>
      <c r="E107" s="163" t="s">
        <v>278</v>
      </c>
      <c r="F107" s="164"/>
      <c r="G107" s="193">
        <f>'Прилож №5'!H80</f>
        <v>1022</v>
      </c>
      <c r="H107" s="165">
        <f>'Прилож №5'!I80</f>
        <v>0</v>
      </c>
      <c r="I107" s="88"/>
    </row>
    <row r="108" spans="1:9" s="48" customFormat="1" ht="15.75">
      <c r="A108" s="166" t="s">
        <v>131</v>
      </c>
      <c r="B108" s="190" t="s">
        <v>188</v>
      </c>
      <c r="C108" s="150" t="s">
        <v>189</v>
      </c>
      <c r="D108" s="151" t="s">
        <v>132</v>
      </c>
      <c r="E108" s="150"/>
      <c r="F108" s="152"/>
      <c r="G108" s="185">
        <f>G109</f>
        <v>362.3</v>
      </c>
      <c r="H108" s="153"/>
      <c r="I108" s="88"/>
    </row>
    <row r="109" spans="1:9" s="48" customFormat="1" ht="39">
      <c r="A109" s="69" t="s">
        <v>381</v>
      </c>
      <c r="B109" s="190" t="s">
        <v>188</v>
      </c>
      <c r="C109" s="150" t="s">
        <v>189</v>
      </c>
      <c r="D109" s="151" t="s">
        <v>297</v>
      </c>
      <c r="E109" s="150"/>
      <c r="F109" s="152"/>
      <c r="G109" s="185">
        <f>G110</f>
        <v>362.3</v>
      </c>
      <c r="H109" s="153"/>
      <c r="I109" s="88"/>
    </row>
    <row r="110" spans="1:9" s="48" customFormat="1" ht="15.75">
      <c r="A110" s="166" t="s">
        <v>146</v>
      </c>
      <c r="B110" s="190" t="s">
        <v>188</v>
      </c>
      <c r="C110" s="150" t="s">
        <v>189</v>
      </c>
      <c r="D110" s="151" t="s">
        <v>297</v>
      </c>
      <c r="E110" s="150" t="s">
        <v>278</v>
      </c>
      <c r="F110" s="152"/>
      <c r="G110" s="185">
        <f>'Прилож №5'!H83</f>
        <v>362.3</v>
      </c>
      <c r="H110" s="153"/>
      <c r="I110" s="88"/>
    </row>
    <row r="111" spans="1:9" s="48" customFormat="1" ht="16.5" thickBot="1">
      <c r="A111" s="200" t="s">
        <v>23</v>
      </c>
      <c r="B111" s="253" t="s">
        <v>200</v>
      </c>
      <c r="C111" s="201" t="s">
        <v>126</v>
      </c>
      <c r="D111" s="220"/>
      <c r="E111" s="201"/>
      <c r="F111" s="206"/>
      <c r="G111" s="245">
        <f>G112+G135+G152</f>
        <v>279185.2</v>
      </c>
      <c r="H111" s="195">
        <f>H112+H135+H152</f>
        <v>0</v>
      </c>
      <c r="I111" s="88"/>
    </row>
    <row r="112" spans="1:9" s="48" customFormat="1" ht="15.75">
      <c r="A112" s="270" t="s">
        <v>70</v>
      </c>
      <c r="B112" s="271" t="s">
        <v>200</v>
      </c>
      <c r="C112" s="211" t="s">
        <v>186</v>
      </c>
      <c r="D112" s="265" t="s">
        <v>47</v>
      </c>
      <c r="E112" s="211" t="s">
        <v>49</v>
      </c>
      <c r="F112" s="265"/>
      <c r="G112" s="272">
        <f>G124+G128+G120+G113</f>
        <v>129019.50000000001</v>
      </c>
      <c r="H112" s="359">
        <f>H124+H128+H120</f>
        <v>0</v>
      </c>
      <c r="I112" s="88"/>
    </row>
    <row r="113" spans="1:9" s="48" customFormat="1" ht="45">
      <c r="A113" s="367" t="s">
        <v>386</v>
      </c>
      <c r="B113" s="273" t="s">
        <v>200</v>
      </c>
      <c r="C113" s="273" t="s">
        <v>186</v>
      </c>
      <c r="D113" s="273" t="s">
        <v>387</v>
      </c>
      <c r="E113" s="273"/>
      <c r="F113" s="273"/>
      <c r="G113" s="185">
        <f>G114+G117</f>
        <v>32071.2</v>
      </c>
      <c r="H113" s="153"/>
      <c r="I113" s="88"/>
    </row>
    <row r="114" spans="1:9" s="48" customFormat="1" ht="75">
      <c r="A114" s="367" t="s">
        <v>388</v>
      </c>
      <c r="B114" s="273" t="s">
        <v>200</v>
      </c>
      <c r="C114" s="273" t="s">
        <v>186</v>
      </c>
      <c r="D114" s="273" t="s">
        <v>389</v>
      </c>
      <c r="E114" s="273"/>
      <c r="F114" s="273"/>
      <c r="G114" s="185">
        <f>G115</f>
        <v>15682</v>
      </c>
      <c r="H114" s="153"/>
      <c r="I114" s="88"/>
    </row>
    <row r="115" spans="1:9" s="48" customFormat="1" ht="30">
      <c r="A115" s="367" t="s">
        <v>390</v>
      </c>
      <c r="B115" s="273" t="s">
        <v>200</v>
      </c>
      <c r="C115" s="273" t="s">
        <v>186</v>
      </c>
      <c r="D115" s="273" t="s">
        <v>391</v>
      </c>
      <c r="E115" s="273"/>
      <c r="F115" s="273"/>
      <c r="G115" s="185">
        <f>G116</f>
        <v>15682</v>
      </c>
      <c r="H115" s="153"/>
      <c r="I115" s="88"/>
    </row>
    <row r="116" spans="1:9" s="48" customFormat="1" ht="15.75">
      <c r="A116" s="368" t="s">
        <v>392</v>
      </c>
      <c r="B116" s="273" t="s">
        <v>200</v>
      </c>
      <c r="C116" s="273" t="s">
        <v>186</v>
      </c>
      <c r="D116" s="273" t="s">
        <v>391</v>
      </c>
      <c r="E116" s="273" t="s">
        <v>393</v>
      </c>
      <c r="F116" s="273"/>
      <c r="G116" s="185">
        <f>'Прилож №5'!H89</f>
        <v>15682</v>
      </c>
      <c r="H116" s="153"/>
      <c r="I116" s="88"/>
    </row>
    <row r="117" spans="1:9" s="48" customFormat="1" ht="45">
      <c r="A117" s="367" t="s">
        <v>394</v>
      </c>
      <c r="B117" s="273" t="s">
        <v>200</v>
      </c>
      <c r="C117" s="273" t="s">
        <v>186</v>
      </c>
      <c r="D117" s="273" t="s">
        <v>395</v>
      </c>
      <c r="E117" s="273"/>
      <c r="F117" s="273"/>
      <c r="G117" s="185">
        <f>G118</f>
        <v>16389.2</v>
      </c>
      <c r="H117" s="153"/>
      <c r="I117" s="88"/>
    </row>
    <row r="118" spans="1:9" s="48" customFormat="1" ht="30">
      <c r="A118" s="367" t="s">
        <v>396</v>
      </c>
      <c r="B118" s="273" t="s">
        <v>200</v>
      </c>
      <c r="C118" s="273" t="s">
        <v>186</v>
      </c>
      <c r="D118" s="273" t="s">
        <v>397</v>
      </c>
      <c r="E118" s="273"/>
      <c r="F118" s="273"/>
      <c r="G118" s="185">
        <f>G119</f>
        <v>16389.2</v>
      </c>
      <c r="H118" s="153"/>
      <c r="I118" s="88"/>
    </row>
    <row r="119" spans="1:9" s="48" customFormat="1" ht="15.75">
      <c r="A119" s="368" t="s">
        <v>392</v>
      </c>
      <c r="B119" s="273" t="s">
        <v>200</v>
      </c>
      <c r="C119" s="273" t="s">
        <v>186</v>
      </c>
      <c r="D119" s="273" t="s">
        <v>397</v>
      </c>
      <c r="E119" s="273" t="s">
        <v>393</v>
      </c>
      <c r="F119" s="273"/>
      <c r="G119" s="185">
        <f>'Прилож №5'!H92</f>
        <v>16389.2</v>
      </c>
      <c r="H119" s="153"/>
      <c r="I119" s="88"/>
    </row>
    <row r="120" spans="1:9" s="48" customFormat="1" ht="30">
      <c r="A120" s="149" t="s">
        <v>206</v>
      </c>
      <c r="B120" s="281" t="s">
        <v>200</v>
      </c>
      <c r="C120" s="273" t="s">
        <v>186</v>
      </c>
      <c r="D120" s="283" t="s">
        <v>71</v>
      </c>
      <c r="E120" s="150"/>
      <c r="F120" s="158"/>
      <c r="G120" s="282">
        <f>G121</f>
        <v>500</v>
      </c>
      <c r="H120" s="159"/>
      <c r="I120" s="88"/>
    </row>
    <row r="121" spans="1:9" s="48" customFormat="1" ht="60">
      <c r="A121" s="196" t="s">
        <v>207</v>
      </c>
      <c r="B121" s="252" t="s">
        <v>200</v>
      </c>
      <c r="C121" s="179" t="s">
        <v>186</v>
      </c>
      <c r="D121" s="180" t="s">
        <v>208</v>
      </c>
      <c r="E121" s="179"/>
      <c r="F121" s="147"/>
      <c r="G121" s="268">
        <f>G122</f>
        <v>500</v>
      </c>
      <c r="H121" s="203"/>
      <c r="I121" s="88"/>
    </row>
    <row r="122" spans="1:9" s="48" customFormat="1" ht="30">
      <c r="A122" s="196" t="s">
        <v>242</v>
      </c>
      <c r="B122" s="252" t="s">
        <v>200</v>
      </c>
      <c r="C122" s="179" t="s">
        <v>186</v>
      </c>
      <c r="D122" s="180" t="s">
        <v>243</v>
      </c>
      <c r="E122" s="179"/>
      <c r="F122" s="147"/>
      <c r="G122" s="268">
        <f>G123</f>
        <v>500</v>
      </c>
      <c r="H122" s="203"/>
      <c r="I122" s="88"/>
    </row>
    <row r="123" spans="1:9" s="48" customFormat="1" ht="15.75">
      <c r="A123" s="196" t="s">
        <v>209</v>
      </c>
      <c r="B123" s="252" t="s">
        <v>200</v>
      </c>
      <c r="C123" s="179" t="s">
        <v>186</v>
      </c>
      <c r="D123" s="180" t="s">
        <v>243</v>
      </c>
      <c r="E123" s="179" t="s">
        <v>67</v>
      </c>
      <c r="F123" s="147"/>
      <c r="G123" s="268">
        <f>'Прилож №5'!H93</f>
        <v>500</v>
      </c>
      <c r="H123" s="203"/>
      <c r="I123" s="88"/>
    </row>
    <row r="124" spans="1:9" s="48" customFormat="1" ht="15.75">
      <c r="A124" s="166" t="s">
        <v>24</v>
      </c>
      <c r="B124" s="252" t="s">
        <v>200</v>
      </c>
      <c r="C124" s="179" t="s">
        <v>186</v>
      </c>
      <c r="D124" s="180" t="s">
        <v>25</v>
      </c>
      <c r="E124" s="179"/>
      <c r="F124" s="180"/>
      <c r="G124" s="197">
        <f>G125</f>
        <v>94448.30000000002</v>
      </c>
      <c r="H124" s="181">
        <f>H125</f>
        <v>0</v>
      </c>
      <c r="I124" s="88"/>
    </row>
    <row r="125" spans="1:9" s="48" customFormat="1" ht="15.75">
      <c r="A125" s="154" t="s">
        <v>201</v>
      </c>
      <c r="B125" s="252" t="s">
        <v>200</v>
      </c>
      <c r="C125" s="179" t="s">
        <v>186</v>
      </c>
      <c r="D125" s="180" t="s">
        <v>202</v>
      </c>
      <c r="E125" s="179"/>
      <c r="F125" s="180"/>
      <c r="G125" s="197">
        <f>G126+G127</f>
        <v>94448.30000000002</v>
      </c>
      <c r="H125" s="181">
        <f>H126</f>
        <v>0</v>
      </c>
      <c r="I125" s="88"/>
    </row>
    <row r="126" spans="1:9" s="48" customFormat="1" ht="15.75">
      <c r="A126" s="166" t="s">
        <v>181</v>
      </c>
      <c r="B126" s="190" t="s">
        <v>200</v>
      </c>
      <c r="C126" s="179" t="s">
        <v>186</v>
      </c>
      <c r="D126" s="180" t="s">
        <v>202</v>
      </c>
      <c r="E126" s="179" t="s">
        <v>87</v>
      </c>
      <c r="F126" s="180"/>
      <c r="G126" s="197">
        <f>'Прилож №5'!H99+'Прилож №5'!H448</f>
        <v>94109.50000000001</v>
      </c>
      <c r="H126" s="181">
        <f>'Прилож №5'!I99</f>
        <v>0</v>
      </c>
      <c r="I126" s="117"/>
    </row>
    <row r="127" spans="1:9" s="48" customFormat="1" ht="15.75">
      <c r="A127" s="154" t="s">
        <v>146</v>
      </c>
      <c r="B127" s="190" t="s">
        <v>200</v>
      </c>
      <c r="C127" s="179" t="s">
        <v>186</v>
      </c>
      <c r="D127" s="180" t="s">
        <v>202</v>
      </c>
      <c r="E127" s="179" t="s">
        <v>278</v>
      </c>
      <c r="F127" s="180"/>
      <c r="G127" s="197">
        <f>'Прилож №5'!H100</f>
        <v>338.8</v>
      </c>
      <c r="H127" s="181"/>
      <c r="I127" s="117"/>
    </row>
    <row r="128" spans="1:9" s="48" customFormat="1" ht="15.75">
      <c r="A128" s="166" t="s">
        <v>131</v>
      </c>
      <c r="B128" s="190" t="s">
        <v>200</v>
      </c>
      <c r="C128" s="179" t="s">
        <v>186</v>
      </c>
      <c r="D128" s="180" t="s">
        <v>132</v>
      </c>
      <c r="E128" s="179"/>
      <c r="F128" s="180"/>
      <c r="G128" s="197">
        <f>G129+G131+G133</f>
        <v>2000</v>
      </c>
      <c r="H128" s="181"/>
      <c r="I128" s="88"/>
    </row>
    <row r="129" spans="1:9" s="48" customFormat="1" ht="30">
      <c r="A129" s="149" t="s">
        <v>266</v>
      </c>
      <c r="B129" s="190" t="s">
        <v>200</v>
      </c>
      <c r="C129" s="179" t="s">
        <v>186</v>
      </c>
      <c r="D129" s="180" t="s">
        <v>265</v>
      </c>
      <c r="E129" s="179"/>
      <c r="F129" s="180"/>
      <c r="G129" s="197">
        <f>G130</f>
        <v>2000</v>
      </c>
      <c r="H129" s="181"/>
      <c r="I129" s="88"/>
    </row>
    <row r="130" spans="1:9" s="48" customFormat="1" ht="15.75">
      <c r="A130" s="154" t="s">
        <v>146</v>
      </c>
      <c r="B130" s="190" t="s">
        <v>200</v>
      </c>
      <c r="C130" s="179" t="s">
        <v>186</v>
      </c>
      <c r="D130" s="180" t="s">
        <v>265</v>
      </c>
      <c r="E130" s="179" t="s">
        <v>278</v>
      </c>
      <c r="F130" s="180"/>
      <c r="G130" s="197">
        <f>'Прилож №5'!H103</f>
        <v>2000</v>
      </c>
      <c r="H130" s="181"/>
      <c r="I130" s="88"/>
    </row>
    <row r="131" spans="1:9" s="48" customFormat="1" ht="26.25">
      <c r="A131" s="69" t="s">
        <v>383</v>
      </c>
      <c r="B131" s="190" t="s">
        <v>200</v>
      </c>
      <c r="C131" s="179" t="s">
        <v>186</v>
      </c>
      <c r="D131" s="180" t="s">
        <v>356</v>
      </c>
      <c r="E131" s="179"/>
      <c r="F131" s="180"/>
      <c r="G131" s="197">
        <f>G132</f>
        <v>0</v>
      </c>
      <c r="H131" s="181"/>
      <c r="I131" s="88"/>
    </row>
    <row r="132" spans="1:9" s="48" customFormat="1" ht="15.75">
      <c r="A132" s="70" t="s">
        <v>146</v>
      </c>
      <c r="B132" s="190" t="s">
        <v>200</v>
      </c>
      <c r="C132" s="179" t="s">
        <v>186</v>
      </c>
      <c r="D132" s="180" t="s">
        <v>356</v>
      </c>
      <c r="E132" s="179" t="s">
        <v>278</v>
      </c>
      <c r="F132" s="180"/>
      <c r="G132" s="197">
        <f>'Прилож №5'!H105</f>
        <v>0</v>
      </c>
      <c r="H132" s="181"/>
      <c r="I132" s="88"/>
    </row>
    <row r="133" spans="1:9" s="48" customFormat="1" ht="26.25">
      <c r="A133" s="69" t="s">
        <v>357</v>
      </c>
      <c r="B133" s="190" t="s">
        <v>200</v>
      </c>
      <c r="C133" s="179" t="s">
        <v>186</v>
      </c>
      <c r="D133" s="180" t="s">
        <v>358</v>
      </c>
      <c r="E133" s="179"/>
      <c r="F133" s="180"/>
      <c r="G133" s="197">
        <f>G134</f>
        <v>0</v>
      </c>
      <c r="H133" s="181"/>
      <c r="I133" s="88"/>
    </row>
    <row r="134" spans="1:9" s="48" customFormat="1" ht="15.75">
      <c r="A134" s="70" t="s">
        <v>146</v>
      </c>
      <c r="B134" s="190" t="s">
        <v>200</v>
      </c>
      <c r="C134" s="179" t="s">
        <v>186</v>
      </c>
      <c r="D134" s="180" t="s">
        <v>358</v>
      </c>
      <c r="E134" s="179" t="s">
        <v>278</v>
      </c>
      <c r="F134" s="180"/>
      <c r="G134" s="197">
        <f>'Прилож №5'!H107</f>
        <v>0</v>
      </c>
      <c r="H134" s="181"/>
      <c r="I134" s="88"/>
    </row>
    <row r="135" spans="1:9" s="48" customFormat="1" ht="15.75">
      <c r="A135" s="161" t="s">
        <v>3</v>
      </c>
      <c r="B135" s="190" t="s">
        <v>200</v>
      </c>
      <c r="C135" s="150" t="s">
        <v>187</v>
      </c>
      <c r="D135" s="180"/>
      <c r="E135" s="179"/>
      <c r="F135" s="157"/>
      <c r="G135" s="189">
        <f>G140+G136+G147+G144</f>
        <v>48689.7</v>
      </c>
      <c r="H135" s="159">
        <f>H140+H136</f>
        <v>0</v>
      </c>
      <c r="I135" s="88"/>
    </row>
    <row r="136" spans="1:9" s="48" customFormat="1" ht="30">
      <c r="A136" s="196" t="s">
        <v>206</v>
      </c>
      <c r="B136" s="252" t="s">
        <v>200</v>
      </c>
      <c r="C136" s="150" t="s">
        <v>187</v>
      </c>
      <c r="D136" s="180" t="s">
        <v>71</v>
      </c>
      <c r="E136" s="179"/>
      <c r="F136" s="180"/>
      <c r="G136" s="197">
        <f aca="true" t="shared" si="5" ref="G136:H138">G137</f>
        <v>1409.5</v>
      </c>
      <c r="H136" s="181">
        <f t="shared" si="5"/>
        <v>0</v>
      </c>
      <c r="I136" s="88"/>
    </row>
    <row r="137" spans="1:9" s="48" customFormat="1" ht="60">
      <c r="A137" s="196" t="s">
        <v>207</v>
      </c>
      <c r="B137" s="252" t="s">
        <v>200</v>
      </c>
      <c r="C137" s="150" t="s">
        <v>187</v>
      </c>
      <c r="D137" s="180" t="s">
        <v>208</v>
      </c>
      <c r="E137" s="179"/>
      <c r="F137" s="180"/>
      <c r="G137" s="197">
        <f t="shared" si="5"/>
        <v>1409.5</v>
      </c>
      <c r="H137" s="181">
        <f t="shared" si="5"/>
        <v>0</v>
      </c>
      <c r="I137" s="88"/>
    </row>
    <row r="138" spans="1:9" s="48" customFormat="1" ht="30">
      <c r="A138" s="196" t="s">
        <v>242</v>
      </c>
      <c r="B138" s="252" t="s">
        <v>200</v>
      </c>
      <c r="C138" s="150" t="s">
        <v>187</v>
      </c>
      <c r="D138" s="180" t="s">
        <v>243</v>
      </c>
      <c r="E138" s="179"/>
      <c r="F138" s="180"/>
      <c r="G138" s="197">
        <f t="shared" si="5"/>
        <v>1409.5</v>
      </c>
      <c r="H138" s="181">
        <f t="shared" si="5"/>
        <v>0</v>
      </c>
      <c r="I138" s="88"/>
    </row>
    <row r="139" spans="1:9" s="48" customFormat="1" ht="15.75">
      <c r="A139" s="196" t="s">
        <v>209</v>
      </c>
      <c r="B139" s="252" t="s">
        <v>200</v>
      </c>
      <c r="C139" s="150" t="s">
        <v>187</v>
      </c>
      <c r="D139" s="180" t="s">
        <v>243</v>
      </c>
      <c r="E139" s="179" t="s">
        <v>67</v>
      </c>
      <c r="F139" s="147"/>
      <c r="G139" s="197">
        <f>'Прилож №5'!H112+'Прилож №5'!H116</f>
        <v>1409.5</v>
      </c>
      <c r="H139" s="159"/>
      <c r="I139" s="88"/>
    </row>
    <row r="140" spans="1:9" s="48" customFormat="1" ht="15.75">
      <c r="A140" s="166" t="s">
        <v>54</v>
      </c>
      <c r="B140" s="252" t="s">
        <v>200</v>
      </c>
      <c r="C140" s="150" t="s">
        <v>187</v>
      </c>
      <c r="D140" s="151" t="s">
        <v>75</v>
      </c>
      <c r="E140" s="262"/>
      <c r="F140" s="259" t="e">
        <f>#REF!</f>
        <v>#REF!</v>
      </c>
      <c r="G140" s="197">
        <f aca="true" t="shared" si="6" ref="G140:H142">G141</f>
        <v>4054</v>
      </c>
      <c r="H140" s="181">
        <f t="shared" si="6"/>
        <v>0</v>
      </c>
      <c r="I140" s="88"/>
    </row>
    <row r="141" spans="1:9" s="48" customFormat="1" ht="15.75">
      <c r="A141" s="183" t="s">
        <v>291</v>
      </c>
      <c r="B141" s="190" t="s">
        <v>200</v>
      </c>
      <c r="C141" s="150" t="s">
        <v>187</v>
      </c>
      <c r="D141" s="151" t="s">
        <v>292</v>
      </c>
      <c r="E141" s="150"/>
      <c r="F141" s="151"/>
      <c r="G141" s="191">
        <f t="shared" si="6"/>
        <v>4054</v>
      </c>
      <c r="H141" s="153">
        <f t="shared" si="6"/>
        <v>0</v>
      </c>
      <c r="I141" s="88"/>
    </row>
    <row r="142" spans="1:9" s="48" customFormat="1" ht="15.75">
      <c r="A142" s="183" t="s">
        <v>372</v>
      </c>
      <c r="B142" s="190" t="s">
        <v>200</v>
      </c>
      <c r="C142" s="150" t="s">
        <v>187</v>
      </c>
      <c r="D142" s="151" t="s">
        <v>373</v>
      </c>
      <c r="E142" s="150"/>
      <c r="F142" s="151"/>
      <c r="G142" s="191">
        <f t="shared" si="6"/>
        <v>4054</v>
      </c>
      <c r="H142" s="153">
        <f t="shared" si="6"/>
        <v>0</v>
      </c>
      <c r="I142" s="88"/>
    </row>
    <row r="143" spans="1:9" s="48" customFormat="1" ht="15.75">
      <c r="A143" s="162" t="s">
        <v>146</v>
      </c>
      <c r="B143" s="190" t="s">
        <v>200</v>
      </c>
      <c r="C143" s="150" t="s">
        <v>187</v>
      </c>
      <c r="D143" s="151" t="s">
        <v>373</v>
      </c>
      <c r="E143" s="150" t="s">
        <v>278</v>
      </c>
      <c r="F143" s="151"/>
      <c r="G143" s="191">
        <f>'Прилож №5'!H453+'Прилож №5'!H120</f>
        <v>4054</v>
      </c>
      <c r="H143" s="153">
        <f>'Прилож №5'!I453+'Прилож №5'!I120</f>
        <v>0</v>
      </c>
      <c r="I143" s="88"/>
    </row>
    <row r="144" spans="1:9" s="48" customFormat="1" ht="30">
      <c r="A144" s="183" t="s">
        <v>398</v>
      </c>
      <c r="B144" s="190" t="s">
        <v>200</v>
      </c>
      <c r="C144" s="150" t="s">
        <v>187</v>
      </c>
      <c r="D144" s="151" t="s">
        <v>399</v>
      </c>
      <c r="E144" s="150"/>
      <c r="F144" s="151"/>
      <c r="G144" s="191">
        <f>G145</f>
        <v>23811.5</v>
      </c>
      <c r="H144" s="153"/>
      <c r="I144" s="88"/>
    </row>
    <row r="145" spans="1:9" s="48" customFormat="1" ht="15.75">
      <c r="A145" s="183" t="s">
        <v>403</v>
      </c>
      <c r="B145" s="190" t="s">
        <v>200</v>
      </c>
      <c r="C145" s="150" t="s">
        <v>187</v>
      </c>
      <c r="D145" s="151" t="s">
        <v>400</v>
      </c>
      <c r="E145" s="150"/>
      <c r="F145" s="151"/>
      <c r="G145" s="191">
        <f>G146</f>
        <v>23811.5</v>
      </c>
      <c r="H145" s="153"/>
      <c r="I145" s="88"/>
    </row>
    <row r="146" spans="1:9" s="48" customFormat="1" ht="15.75">
      <c r="A146" s="162" t="s">
        <v>209</v>
      </c>
      <c r="B146" s="190" t="s">
        <v>200</v>
      </c>
      <c r="C146" s="150" t="s">
        <v>187</v>
      </c>
      <c r="D146" s="151" t="s">
        <v>400</v>
      </c>
      <c r="E146" s="150" t="s">
        <v>67</v>
      </c>
      <c r="F146" s="151"/>
      <c r="G146" s="191">
        <f>'Прилож №5'!H123+'Прилож №5'!H125</f>
        <v>23811.5</v>
      </c>
      <c r="H146" s="153"/>
      <c r="I146" s="88"/>
    </row>
    <row r="147" spans="1:9" s="48" customFormat="1" ht="15.75">
      <c r="A147" s="26" t="s">
        <v>131</v>
      </c>
      <c r="B147" s="190" t="s">
        <v>200</v>
      </c>
      <c r="C147" s="150" t="s">
        <v>187</v>
      </c>
      <c r="D147" s="151" t="s">
        <v>132</v>
      </c>
      <c r="E147" s="150"/>
      <c r="F147" s="151"/>
      <c r="G147" s="191">
        <f>G150+G148</f>
        <v>19414.7</v>
      </c>
      <c r="H147" s="153"/>
      <c r="I147" s="88"/>
    </row>
    <row r="148" spans="1:9" s="48" customFormat="1" ht="26.25">
      <c r="A148" s="47" t="s">
        <v>379</v>
      </c>
      <c r="B148" s="190" t="s">
        <v>200</v>
      </c>
      <c r="C148" s="150" t="s">
        <v>187</v>
      </c>
      <c r="D148" s="151" t="s">
        <v>264</v>
      </c>
      <c r="E148" s="150"/>
      <c r="F148" s="151"/>
      <c r="G148" s="191">
        <f>G149</f>
        <v>19414.7</v>
      </c>
      <c r="H148" s="153"/>
      <c r="I148" s="88"/>
    </row>
    <row r="149" spans="1:9" s="48" customFormat="1" ht="13.5" customHeight="1">
      <c r="A149" s="196" t="s">
        <v>209</v>
      </c>
      <c r="B149" s="190" t="s">
        <v>200</v>
      </c>
      <c r="C149" s="150" t="s">
        <v>187</v>
      </c>
      <c r="D149" s="151" t="s">
        <v>264</v>
      </c>
      <c r="E149" s="150" t="s">
        <v>67</v>
      </c>
      <c r="F149" s="151"/>
      <c r="G149" s="191">
        <f>'Прилож №5'!H128</f>
        <v>19414.7</v>
      </c>
      <c r="H149" s="153"/>
      <c r="I149" s="88"/>
    </row>
    <row r="150" spans="1:9" s="48" customFormat="1" ht="44.25" customHeight="1" hidden="1">
      <c r="A150" s="369" t="s">
        <v>371</v>
      </c>
      <c r="B150" s="151" t="s">
        <v>200</v>
      </c>
      <c r="C150" s="150" t="s">
        <v>187</v>
      </c>
      <c r="D150" s="151" t="s">
        <v>298</v>
      </c>
      <c r="E150" s="150"/>
      <c r="F150" s="151"/>
      <c r="G150" s="191">
        <f>G151</f>
        <v>0</v>
      </c>
      <c r="H150" s="153"/>
      <c r="I150" s="88"/>
    </row>
    <row r="151" spans="1:9" s="48" customFormat="1" ht="15.75" hidden="1">
      <c r="A151" s="196" t="s">
        <v>209</v>
      </c>
      <c r="B151" s="190" t="s">
        <v>200</v>
      </c>
      <c r="C151" s="150" t="s">
        <v>187</v>
      </c>
      <c r="D151" s="151" t="s">
        <v>298</v>
      </c>
      <c r="E151" s="150" t="s">
        <v>67</v>
      </c>
      <c r="F151" s="151"/>
      <c r="G151" s="191">
        <f>'Прилож №5'!H130</f>
        <v>0</v>
      </c>
      <c r="H151" s="153"/>
      <c r="I151" s="88"/>
    </row>
    <row r="152" spans="1:9" s="23" customFormat="1" ht="15.75">
      <c r="A152" s="198" t="s">
        <v>134</v>
      </c>
      <c r="B152" s="188" t="s">
        <v>200</v>
      </c>
      <c r="C152" s="156" t="s">
        <v>191</v>
      </c>
      <c r="D152" s="157"/>
      <c r="E152" s="156"/>
      <c r="F152" s="157"/>
      <c r="G152" s="189">
        <f>G165+G176+G153+G157</f>
        <v>101475.99999999999</v>
      </c>
      <c r="H152" s="159">
        <f>H165</f>
        <v>0</v>
      </c>
      <c r="I152" s="88"/>
    </row>
    <row r="153" spans="1:9" s="23" customFormat="1" ht="26.25">
      <c r="A153" s="35" t="s">
        <v>206</v>
      </c>
      <c r="B153" s="190" t="s">
        <v>200</v>
      </c>
      <c r="C153" s="150" t="s">
        <v>191</v>
      </c>
      <c r="D153" s="180" t="s">
        <v>71</v>
      </c>
      <c r="E153" s="179"/>
      <c r="F153" s="157"/>
      <c r="G153" s="191">
        <f>G154</f>
        <v>2000</v>
      </c>
      <c r="H153" s="159"/>
      <c r="I153" s="88"/>
    </row>
    <row r="154" spans="1:9" s="23" customFormat="1" ht="39">
      <c r="A154" s="35" t="s">
        <v>207</v>
      </c>
      <c r="B154" s="190" t="s">
        <v>200</v>
      </c>
      <c r="C154" s="150" t="s">
        <v>191</v>
      </c>
      <c r="D154" s="180" t="s">
        <v>208</v>
      </c>
      <c r="E154" s="179"/>
      <c r="F154" s="157"/>
      <c r="G154" s="191">
        <f>G155</f>
        <v>2000</v>
      </c>
      <c r="H154" s="159"/>
      <c r="I154" s="88"/>
    </row>
    <row r="155" spans="1:9" s="23" customFormat="1" ht="39">
      <c r="A155" s="35" t="s">
        <v>348</v>
      </c>
      <c r="B155" s="190" t="s">
        <v>200</v>
      </c>
      <c r="C155" s="150" t="s">
        <v>191</v>
      </c>
      <c r="D155" s="180" t="s">
        <v>243</v>
      </c>
      <c r="E155" s="179"/>
      <c r="F155" s="157"/>
      <c r="G155" s="191">
        <f>G156</f>
        <v>2000</v>
      </c>
      <c r="H155" s="159"/>
      <c r="I155" s="88"/>
    </row>
    <row r="156" spans="1:9" s="23" customFormat="1" ht="15.75">
      <c r="A156" s="35" t="s">
        <v>209</v>
      </c>
      <c r="B156" s="190" t="s">
        <v>200</v>
      </c>
      <c r="C156" s="150" t="s">
        <v>191</v>
      </c>
      <c r="D156" s="180" t="s">
        <v>243</v>
      </c>
      <c r="E156" s="179" t="s">
        <v>67</v>
      </c>
      <c r="F156" s="151"/>
      <c r="G156" s="191">
        <f>'Прилож №5'!H135</f>
        <v>2000</v>
      </c>
      <c r="H156" s="159"/>
      <c r="I156" s="88"/>
    </row>
    <row r="157" spans="1:9" s="23" customFormat="1" ht="15.75">
      <c r="A157" s="35" t="s">
        <v>54</v>
      </c>
      <c r="B157" s="190" t="s">
        <v>200</v>
      </c>
      <c r="C157" s="190" t="s">
        <v>191</v>
      </c>
      <c r="D157" s="273" t="s">
        <v>75</v>
      </c>
      <c r="E157" s="364"/>
      <c r="F157" s="151"/>
      <c r="G157" s="191">
        <f>G158</f>
        <v>12271.7</v>
      </c>
      <c r="H157" s="159"/>
      <c r="I157" s="88"/>
    </row>
    <row r="158" spans="1:9" s="23" customFormat="1" ht="15.75">
      <c r="A158" s="35" t="s">
        <v>442</v>
      </c>
      <c r="B158" s="190" t="s">
        <v>200</v>
      </c>
      <c r="C158" s="190" t="s">
        <v>191</v>
      </c>
      <c r="D158" s="273" t="s">
        <v>443</v>
      </c>
      <c r="E158" s="364"/>
      <c r="F158" s="151"/>
      <c r="G158" s="191">
        <f>G159+G161+G163</f>
        <v>12271.7</v>
      </c>
      <c r="H158" s="159"/>
      <c r="I158" s="88"/>
    </row>
    <row r="159" spans="1:9" s="23" customFormat="1" ht="15.75">
      <c r="A159" s="35" t="s">
        <v>444</v>
      </c>
      <c r="B159" s="190" t="s">
        <v>200</v>
      </c>
      <c r="C159" s="190" t="s">
        <v>191</v>
      </c>
      <c r="D159" s="273" t="s">
        <v>445</v>
      </c>
      <c r="E159" s="364"/>
      <c r="F159" s="151"/>
      <c r="G159" s="191">
        <f>G160</f>
        <v>1193.9</v>
      </c>
      <c r="H159" s="159"/>
      <c r="I159" s="88"/>
    </row>
    <row r="160" spans="1:9" s="23" customFormat="1" ht="15.75">
      <c r="A160" s="35" t="s">
        <v>181</v>
      </c>
      <c r="B160" s="190" t="s">
        <v>200</v>
      </c>
      <c r="C160" s="190" t="s">
        <v>191</v>
      </c>
      <c r="D160" s="273" t="s">
        <v>445</v>
      </c>
      <c r="E160" s="364" t="s">
        <v>87</v>
      </c>
      <c r="F160" s="151"/>
      <c r="G160" s="191">
        <f>'Прилож №5'!H139</f>
        <v>1193.9</v>
      </c>
      <c r="H160" s="159"/>
      <c r="I160" s="88"/>
    </row>
    <row r="161" spans="1:9" s="23" customFormat="1" ht="15.75">
      <c r="A161" s="35" t="s">
        <v>137</v>
      </c>
      <c r="B161" s="190" t="s">
        <v>200</v>
      </c>
      <c r="C161" s="190" t="s">
        <v>191</v>
      </c>
      <c r="D161" s="273" t="s">
        <v>446</v>
      </c>
      <c r="E161" s="364"/>
      <c r="F161" s="151"/>
      <c r="G161" s="191">
        <f>G162</f>
        <v>1082.1</v>
      </c>
      <c r="H161" s="159"/>
      <c r="I161" s="88"/>
    </row>
    <row r="162" spans="1:9" s="23" customFormat="1" ht="15.75">
      <c r="A162" s="35" t="s">
        <v>181</v>
      </c>
      <c r="B162" s="190" t="s">
        <v>200</v>
      </c>
      <c r="C162" s="190" t="s">
        <v>191</v>
      </c>
      <c r="D162" s="273" t="s">
        <v>446</v>
      </c>
      <c r="E162" s="364" t="s">
        <v>87</v>
      </c>
      <c r="F162" s="151"/>
      <c r="G162" s="191">
        <f>'Прилож №5'!H141</f>
        <v>1082.1</v>
      </c>
      <c r="H162" s="159"/>
      <c r="I162" s="88"/>
    </row>
    <row r="163" spans="1:9" s="23" customFormat="1" ht="15.75">
      <c r="A163" s="35" t="s">
        <v>447</v>
      </c>
      <c r="B163" s="190" t="s">
        <v>200</v>
      </c>
      <c r="C163" s="190" t="s">
        <v>191</v>
      </c>
      <c r="D163" s="273" t="s">
        <v>448</v>
      </c>
      <c r="E163" s="364"/>
      <c r="F163" s="151"/>
      <c r="G163" s="191">
        <f>G164</f>
        <v>9995.7</v>
      </c>
      <c r="H163" s="159"/>
      <c r="I163" s="88"/>
    </row>
    <row r="164" spans="1:9" s="23" customFormat="1" ht="15.75">
      <c r="A164" s="35" t="s">
        <v>181</v>
      </c>
      <c r="B164" s="190" t="s">
        <v>200</v>
      </c>
      <c r="C164" s="190" t="s">
        <v>191</v>
      </c>
      <c r="D164" s="273" t="s">
        <v>448</v>
      </c>
      <c r="E164" s="364" t="s">
        <v>87</v>
      </c>
      <c r="F164" s="151"/>
      <c r="G164" s="191">
        <f>'Прилож №5'!H143</f>
        <v>9995.7</v>
      </c>
      <c r="H164" s="159"/>
      <c r="I164" s="88"/>
    </row>
    <row r="165" spans="1:9" s="48" customFormat="1" ht="15.75">
      <c r="A165" s="25" t="s">
        <v>134</v>
      </c>
      <c r="B165" s="190" t="s">
        <v>200</v>
      </c>
      <c r="C165" s="150" t="s">
        <v>191</v>
      </c>
      <c r="D165" s="20" t="s">
        <v>294</v>
      </c>
      <c r="E165" s="150"/>
      <c r="F165" s="151"/>
      <c r="G165" s="191">
        <f>G166+G168+G170+G172+G174</f>
        <v>83293.4</v>
      </c>
      <c r="H165" s="153">
        <f>H166+H168+H170+H172+H174</f>
        <v>0</v>
      </c>
      <c r="I165" s="88"/>
    </row>
    <row r="166" spans="1:9" s="48" customFormat="1" ht="15.75">
      <c r="A166" s="25" t="s">
        <v>325</v>
      </c>
      <c r="B166" s="190" t="s">
        <v>200</v>
      </c>
      <c r="C166" s="150" t="s">
        <v>191</v>
      </c>
      <c r="D166" s="20" t="s">
        <v>326</v>
      </c>
      <c r="E166" s="150"/>
      <c r="F166" s="151"/>
      <c r="G166" s="191">
        <f>G167</f>
        <v>18881.9</v>
      </c>
      <c r="H166" s="153">
        <f>H167</f>
        <v>0</v>
      </c>
      <c r="I166" s="88"/>
    </row>
    <row r="167" spans="1:9" s="48" customFormat="1" ht="15.75">
      <c r="A167" s="27" t="s">
        <v>146</v>
      </c>
      <c r="B167" s="190" t="s">
        <v>200</v>
      </c>
      <c r="C167" s="150" t="s">
        <v>191</v>
      </c>
      <c r="D167" s="20" t="s">
        <v>326</v>
      </c>
      <c r="E167" s="150" t="s">
        <v>278</v>
      </c>
      <c r="F167" s="151"/>
      <c r="G167" s="191">
        <f>'Прилож №5'!H146</f>
        <v>18881.9</v>
      </c>
      <c r="H167" s="153">
        <f aca="true" t="shared" si="7" ref="H167:H174">H168</f>
        <v>0</v>
      </c>
      <c r="I167" s="88"/>
    </row>
    <row r="168" spans="1:9" s="48" customFormat="1" ht="39">
      <c r="A168" s="46" t="s">
        <v>295</v>
      </c>
      <c r="B168" s="190" t="s">
        <v>200</v>
      </c>
      <c r="C168" s="150" t="s">
        <v>191</v>
      </c>
      <c r="D168" s="20" t="s">
        <v>296</v>
      </c>
      <c r="E168" s="150"/>
      <c r="F168" s="151"/>
      <c r="G168" s="191">
        <f>G169</f>
        <v>7970.5</v>
      </c>
      <c r="H168" s="153">
        <f t="shared" si="7"/>
        <v>0</v>
      </c>
      <c r="I168" s="88"/>
    </row>
    <row r="169" spans="1:9" s="48" customFormat="1" ht="15.75">
      <c r="A169" s="27" t="s">
        <v>146</v>
      </c>
      <c r="B169" s="190" t="s">
        <v>200</v>
      </c>
      <c r="C169" s="150" t="s">
        <v>191</v>
      </c>
      <c r="D169" s="20" t="s">
        <v>296</v>
      </c>
      <c r="E169" s="150" t="s">
        <v>278</v>
      </c>
      <c r="F169" s="151"/>
      <c r="G169" s="191">
        <f>'Прилож №5'!H148</f>
        <v>7970.5</v>
      </c>
      <c r="H169" s="153">
        <f t="shared" si="7"/>
        <v>0</v>
      </c>
      <c r="I169" s="88"/>
    </row>
    <row r="170" spans="1:9" s="48" customFormat="1" ht="15.75">
      <c r="A170" s="25" t="s">
        <v>137</v>
      </c>
      <c r="B170" s="190" t="s">
        <v>200</v>
      </c>
      <c r="C170" s="150" t="s">
        <v>191</v>
      </c>
      <c r="D170" s="20" t="s">
        <v>327</v>
      </c>
      <c r="E170" s="150"/>
      <c r="F170" s="151"/>
      <c r="G170" s="191">
        <f>G171</f>
        <v>12061</v>
      </c>
      <c r="H170" s="153">
        <f t="shared" si="7"/>
        <v>0</v>
      </c>
      <c r="I170" s="88"/>
    </row>
    <row r="171" spans="1:9" s="48" customFormat="1" ht="15.75">
      <c r="A171" s="27" t="s">
        <v>146</v>
      </c>
      <c r="B171" s="190" t="s">
        <v>200</v>
      </c>
      <c r="C171" s="150" t="s">
        <v>191</v>
      </c>
      <c r="D171" s="20" t="s">
        <v>327</v>
      </c>
      <c r="E171" s="150" t="s">
        <v>278</v>
      </c>
      <c r="F171" s="151"/>
      <c r="G171" s="191">
        <f>'Прилож №5'!H150+'Прилож №5'!H389</f>
        <v>12061</v>
      </c>
      <c r="H171" s="153">
        <f t="shared" si="7"/>
        <v>0</v>
      </c>
      <c r="I171" s="88"/>
    </row>
    <row r="172" spans="1:9" s="48" customFormat="1" ht="15.75">
      <c r="A172" s="25" t="s">
        <v>145</v>
      </c>
      <c r="B172" s="190" t="s">
        <v>200</v>
      </c>
      <c r="C172" s="150" t="s">
        <v>191</v>
      </c>
      <c r="D172" s="20" t="s">
        <v>328</v>
      </c>
      <c r="E172" s="150"/>
      <c r="F172" s="151"/>
      <c r="G172" s="191">
        <f>G173</f>
        <v>4638</v>
      </c>
      <c r="H172" s="153">
        <f t="shared" si="7"/>
        <v>0</v>
      </c>
      <c r="I172" s="88"/>
    </row>
    <row r="173" spans="1:9" s="48" customFormat="1" ht="15.75">
      <c r="A173" s="27" t="s">
        <v>146</v>
      </c>
      <c r="B173" s="190" t="s">
        <v>200</v>
      </c>
      <c r="C173" s="150" t="s">
        <v>191</v>
      </c>
      <c r="D173" s="20" t="s">
        <v>328</v>
      </c>
      <c r="E173" s="150" t="s">
        <v>278</v>
      </c>
      <c r="F173" s="151" t="s">
        <v>135</v>
      </c>
      <c r="G173" s="191">
        <f>'Прилож №5'!H152</f>
        <v>4638</v>
      </c>
      <c r="H173" s="153">
        <f t="shared" si="7"/>
        <v>0</v>
      </c>
      <c r="I173" s="88"/>
    </row>
    <row r="174" spans="1:9" s="48" customFormat="1" ht="17.25" customHeight="1">
      <c r="A174" s="25" t="s">
        <v>329</v>
      </c>
      <c r="B174" s="192" t="s">
        <v>200</v>
      </c>
      <c r="C174" s="163" t="s">
        <v>191</v>
      </c>
      <c r="D174" s="20" t="s">
        <v>330</v>
      </c>
      <c r="E174" s="163"/>
      <c r="F174" s="164" t="s">
        <v>136</v>
      </c>
      <c r="G174" s="193">
        <f>G175</f>
        <v>39742</v>
      </c>
      <c r="H174" s="165">
        <f t="shared" si="7"/>
        <v>0</v>
      </c>
      <c r="I174" s="88"/>
    </row>
    <row r="175" spans="1:9" s="48" customFormat="1" ht="17.25" customHeight="1">
      <c r="A175" s="27" t="s">
        <v>146</v>
      </c>
      <c r="B175" s="190" t="s">
        <v>200</v>
      </c>
      <c r="C175" s="150" t="s">
        <v>191</v>
      </c>
      <c r="D175" s="20" t="s">
        <v>330</v>
      </c>
      <c r="E175" s="150" t="s">
        <v>278</v>
      </c>
      <c r="F175" s="152"/>
      <c r="G175" s="185">
        <f>'Прилож №5'!H154+'Прилож №5'!H391</f>
        <v>39742</v>
      </c>
      <c r="H175" s="153"/>
      <c r="I175" s="88"/>
    </row>
    <row r="176" spans="1:9" s="48" customFormat="1" ht="19.5" customHeight="1">
      <c r="A176" s="47" t="s">
        <v>131</v>
      </c>
      <c r="B176" s="190" t="s">
        <v>200</v>
      </c>
      <c r="C176" s="150" t="s">
        <v>191</v>
      </c>
      <c r="D176" s="151" t="s">
        <v>132</v>
      </c>
      <c r="E176" s="150"/>
      <c r="F176" s="152"/>
      <c r="G176" s="185">
        <f>G177</f>
        <v>3910.8999999999996</v>
      </c>
      <c r="H176" s="165"/>
      <c r="I176" s="88"/>
    </row>
    <row r="177" spans="1:9" s="48" customFormat="1" ht="44.25" customHeight="1">
      <c r="A177" s="47" t="s">
        <v>286</v>
      </c>
      <c r="B177" s="190" t="s">
        <v>200</v>
      </c>
      <c r="C177" s="150" t="s">
        <v>191</v>
      </c>
      <c r="D177" s="151" t="s">
        <v>287</v>
      </c>
      <c r="E177" s="150"/>
      <c r="F177" s="152"/>
      <c r="G177" s="185">
        <f>G178</f>
        <v>3910.8999999999996</v>
      </c>
      <c r="H177" s="165"/>
      <c r="I177" s="88"/>
    </row>
    <row r="178" spans="1:9" s="48" customFormat="1" ht="17.25" customHeight="1">
      <c r="A178" s="27" t="s">
        <v>146</v>
      </c>
      <c r="B178" s="190" t="s">
        <v>200</v>
      </c>
      <c r="C178" s="150" t="s">
        <v>191</v>
      </c>
      <c r="D178" s="151" t="s">
        <v>287</v>
      </c>
      <c r="E178" s="150" t="s">
        <v>278</v>
      </c>
      <c r="F178" s="164"/>
      <c r="G178" s="199">
        <f>'Прилож №5'!H157</f>
        <v>3910.8999999999996</v>
      </c>
      <c r="H178" s="165"/>
      <c r="I178" s="88"/>
    </row>
    <row r="179" spans="1:9" s="48" customFormat="1" ht="16.5" thickBot="1">
      <c r="A179" s="200" t="s">
        <v>43</v>
      </c>
      <c r="B179" s="253" t="s">
        <v>205</v>
      </c>
      <c r="C179" s="201" t="s">
        <v>126</v>
      </c>
      <c r="D179" s="220"/>
      <c r="E179" s="201"/>
      <c r="F179" s="206"/>
      <c r="G179" s="245">
        <f aca="true" t="shared" si="8" ref="G179:H182">G180</f>
        <v>1071.1</v>
      </c>
      <c r="H179" s="195">
        <f t="shared" si="8"/>
        <v>0</v>
      </c>
      <c r="I179" s="88"/>
    </row>
    <row r="180" spans="1:9" s="48" customFormat="1" ht="15.75">
      <c r="A180" s="160" t="s">
        <v>44</v>
      </c>
      <c r="B180" s="254" t="s">
        <v>205</v>
      </c>
      <c r="C180" s="202" t="s">
        <v>200</v>
      </c>
      <c r="D180" s="147"/>
      <c r="E180" s="202"/>
      <c r="F180" s="260"/>
      <c r="G180" s="212">
        <f t="shared" si="8"/>
        <v>1071.1</v>
      </c>
      <c r="H180" s="203">
        <f t="shared" si="8"/>
        <v>0</v>
      </c>
      <c r="I180" s="88"/>
    </row>
    <row r="181" spans="1:9" s="48" customFormat="1" ht="15.75">
      <c r="A181" s="166" t="s">
        <v>131</v>
      </c>
      <c r="B181" s="252" t="s">
        <v>205</v>
      </c>
      <c r="C181" s="179" t="s">
        <v>200</v>
      </c>
      <c r="D181" s="180" t="s">
        <v>132</v>
      </c>
      <c r="E181" s="179"/>
      <c r="F181" s="215"/>
      <c r="G181" s="197">
        <f t="shared" si="8"/>
        <v>1071.1</v>
      </c>
      <c r="H181" s="181">
        <f t="shared" si="8"/>
        <v>0</v>
      </c>
      <c r="I181" s="88"/>
    </row>
    <row r="182" spans="1:9" s="48" customFormat="1" ht="34.5" customHeight="1">
      <c r="A182" s="149" t="s">
        <v>377</v>
      </c>
      <c r="B182" s="252" t="s">
        <v>205</v>
      </c>
      <c r="C182" s="179" t="s">
        <v>200</v>
      </c>
      <c r="D182" s="180" t="s">
        <v>262</v>
      </c>
      <c r="E182" s="179"/>
      <c r="F182" s="215"/>
      <c r="G182" s="197">
        <f t="shared" si="8"/>
        <v>1071.1</v>
      </c>
      <c r="H182" s="181">
        <f t="shared" si="8"/>
        <v>0</v>
      </c>
      <c r="I182" s="88"/>
    </row>
    <row r="183" spans="1:9" s="48" customFormat="1" ht="16.5" thickBot="1">
      <c r="A183" s="154" t="s">
        <v>347</v>
      </c>
      <c r="B183" s="252" t="s">
        <v>205</v>
      </c>
      <c r="C183" s="179" t="s">
        <v>200</v>
      </c>
      <c r="D183" s="180" t="s">
        <v>262</v>
      </c>
      <c r="E183" s="179" t="s">
        <v>4</v>
      </c>
      <c r="F183" s="215"/>
      <c r="G183" s="197">
        <f>'Прилож №5'!H162+'Прилож №5'!H396+'Прилож №5'!H258+'Прилож №5'!H310</f>
        <v>1071.1</v>
      </c>
      <c r="H183" s="181">
        <f>'Прилож №5'!I162+'Прилож №5'!I396</f>
        <v>0</v>
      </c>
      <c r="I183" s="88"/>
    </row>
    <row r="184" spans="1:9" s="48" customFormat="1" ht="16.5" thickBot="1">
      <c r="A184" s="168" t="s">
        <v>6</v>
      </c>
      <c r="B184" s="250" t="s">
        <v>194</v>
      </c>
      <c r="C184" s="169" t="s">
        <v>126</v>
      </c>
      <c r="D184" s="170"/>
      <c r="E184" s="169"/>
      <c r="F184" s="194"/>
      <c r="G184" s="184">
        <f>G185+G193+G209+G219</f>
        <v>739263.9</v>
      </c>
      <c r="H184" s="171">
        <f>H185+H193+H209+H219</f>
        <v>253714.5</v>
      </c>
      <c r="I184" s="88"/>
    </row>
    <row r="185" spans="1:9" s="48" customFormat="1" ht="15.75">
      <c r="A185" s="160" t="s">
        <v>7</v>
      </c>
      <c r="B185" s="249" t="s">
        <v>194</v>
      </c>
      <c r="C185" s="146" t="s">
        <v>186</v>
      </c>
      <c r="D185" s="173"/>
      <c r="E185" s="146"/>
      <c r="F185" s="173"/>
      <c r="G185" s="243">
        <f>G186+G190</f>
        <v>286332.7</v>
      </c>
      <c r="H185" s="148">
        <f>H186+H190</f>
        <v>2700</v>
      </c>
      <c r="I185" s="88"/>
    </row>
    <row r="186" spans="1:9" s="48" customFormat="1" ht="30">
      <c r="A186" s="196" t="s">
        <v>206</v>
      </c>
      <c r="B186" s="264" t="s">
        <v>194</v>
      </c>
      <c r="C186" s="179" t="s">
        <v>186</v>
      </c>
      <c r="D186" s="180" t="s">
        <v>71</v>
      </c>
      <c r="E186" s="179"/>
      <c r="F186" s="180"/>
      <c r="G186" s="197">
        <f aca="true" t="shared" si="9" ref="G186:H188">G187</f>
        <v>9319.2</v>
      </c>
      <c r="H186" s="181">
        <f t="shared" si="9"/>
        <v>0</v>
      </c>
      <c r="I186" s="88"/>
    </row>
    <row r="187" spans="1:9" s="48" customFormat="1" ht="60">
      <c r="A187" s="196" t="s">
        <v>207</v>
      </c>
      <c r="B187" s="264" t="s">
        <v>194</v>
      </c>
      <c r="C187" s="179" t="s">
        <v>186</v>
      </c>
      <c r="D187" s="180" t="s">
        <v>208</v>
      </c>
      <c r="E187" s="179"/>
      <c r="F187" s="180"/>
      <c r="G187" s="197">
        <f t="shared" si="9"/>
        <v>9319.2</v>
      </c>
      <c r="H187" s="181">
        <f t="shared" si="9"/>
        <v>0</v>
      </c>
      <c r="I187" s="88"/>
    </row>
    <row r="188" spans="1:9" s="48" customFormat="1" ht="30">
      <c r="A188" s="196" t="s">
        <v>242</v>
      </c>
      <c r="B188" s="190" t="s">
        <v>194</v>
      </c>
      <c r="C188" s="179" t="s">
        <v>186</v>
      </c>
      <c r="D188" s="180" t="s">
        <v>243</v>
      </c>
      <c r="E188" s="179"/>
      <c r="F188" s="180"/>
      <c r="G188" s="197">
        <f t="shared" si="9"/>
        <v>9319.2</v>
      </c>
      <c r="H188" s="181">
        <f t="shared" si="9"/>
        <v>0</v>
      </c>
      <c r="I188" s="88"/>
    </row>
    <row r="189" spans="1:9" s="48" customFormat="1" ht="15.75">
      <c r="A189" s="196" t="s">
        <v>209</v>
      </c>
      <c r="B189" s="264" t="s">
        <v>194</v>
      </c>
      <c r="C189" s="179" t="s">
        <v>186</v>
      </c>
      <c r="D189" s="180" t="s">
        <v>243</v>
      </c>
      <c r="E189" s="179" t="s">
        <v>67</v>
      </c>
      <c r="F189" s="180"/>
      <c r="G189" s="197">
        <f>'Прилож №5'!H168+'Прилож №5'!H172+'Прилож №5'!H176</f>
        <v>9319.2</v>
      </c>
      <c r="H189" s="181">
        <f>'Прилож №5'!I168+'Прилож №5'!I172</f>
        <v>0</v>
      </c>
      <c r="I189" s="88"/>
    </row>
    <row r="190" spans="1:9" s="48" customFormat="1" ht="15.75">
      <c r="A190" s="166" t="s">
        <v>8</v>
      </c>
      <c r="B190" s="192" t="s">
        <v>194</v>
      </c>
      <c r="C190" s="150" t="s">
        <v>186</v>
      </c>
      <c r="D190" s="151" t="s">
        <v>26</v>
      </c>
      <c r="E190" s="150"/>
      <c r="F190" s="151"/>
      <c r="G190" s="191">
        <f>G191</f>
        <v>277013.5</v>
      </c>
      <c r="H190" s="153">
        <f>H191</f>
        <v>2700</v>
      </c>
      <c r="I190" s="88"/>
    </row>
    <row r="191" spans="1:9" s="48" customFormat="1" ht="15.75">
      <c r="A191" s="162" t="s">
        <v>27</v>
      </c>
      <c r="B191" s="192" t="s">
        <v>194</v>
      </c>
      <c r="C191" s="163" t="s">
        <v>186</v>
      </c>
      <c r="D191" s="164" t="s">
        <v>210</v>
      </c>
      <c r="E191" s="163"/>
      <c r="F191" s="164"/>
      <c r="G191" s="191">
        <f>G192</f>
        <v>277013.5</v>
      </c>
      <c r="H191" s="153">
        <f>H192</f>
        <v>2700</v>
      </c>
      <c r="I191" s="88"/>
    </row>
    <row r="192" spans="1:9" s="48" customFormat="1" ht="15.75">
      <c r="A192" s="162" t="s">
        <v>172</v>
      </c>
      <c r="B192" s="192" t="s">
        <v>194</v>
      </c>
      <c r="C192" s="163" t="s">
        <v>186</v>
      </c>
      <c r="D192" s="164" t="s">
        <v>210</v>
      </c>
      <c r="E192" s="163" t="s">
        <v>86</v>
      </c>
      <c r="F192" s="164"/>
      <c r="G192" s="191">
        <f>'Прилож №5'!H264+'Прилож №5'!H179</f>
        <v>277013.5</v>
      </c>
      <c r="H192" s="153">
        <f>'Прилож №5'!I264</f>
        <v>2700</v>
      </c>
      <c r="I192" s="88"/>
    </row>
    <row r="193" spans="1:9" s="48" customFormat="1" ht="15.75">
      <c r="A193" s="161" t="s">
        <v>9</v>
      </c>
      <c r="B193" s="256" t="s">
        <v>194</v>
      </c>
      <c r="C193" s="182" t="s">
        <v>187</v>
      </c>
      <c r="D193" s="157"/>
      <c r="E193" s="156"/>
      <c r="F193" s="204"/>
      <c r="G193" s="189">
        <f>G198+G201+G204+G194</f>
        <v>402804.6</v>
      </c>
      <c r="H193" s="159">
        <f>H198+H201+H204</f>
        <v>240989</v>
      </c>
      <c r="I193" s="88"/>
    </row>
    <row r="194" spans="1:9" s="48" customFormat="1" ht="26.25">
      <c r="A194" s="46" t="s">
        <v>206</v>
      </c>
      <c r="B194" s="44" t="s">
        <v>194</v>
      </c>
      <c r="C194" s="20" t="s">
        <v>187</v>
      </c>
      <c r="D194" s="31" t="s">
        <v>71</v>
      </c>
      <c r="E194" s="18"/>
      <c r="F194" s="31"/>
      <c r="G194" s="365">
        <f>G195</f>
        <v>329.6</v>
      </c>
      <c r="H194" s="36"/>
      <c r="I194" s="88"/>
    </row>
    <row r="195" spans="1:9" s="48" customFormat="1" ht="39">
      <c r="A195" s="46" t="s">
        <v>207</v>
      </c>
      <c r="B195" s="44" t="s">
        <v>194</v>
      </c>
      <c r="C195" s="20" t="s">
        <v>187</v>
      </c>
      <c r="D195" s="31" t="s">
        <v>208</v>
      </c>
      <c r="E195" s="18"/>
      <c r="F195" s="31"/>
      <c r="G195" s="365">
        <f>G196</f>
        <v>329.6</v>
      </c>
      <c r="H195" s="36"/>
      <c r="I195" s="88"/>
    </row>
    <row r="196" spans="1:9" s="48" customFormat="1" ht="26.25">
      <c r="A196" s="46" t="s">
        <v>242</v>
      </c>
      <c r="B196" s="44" t="s">
        <v>194</v>
      </c>
      <c r="C196" s="20" t="s">
        <v>187</v>
      </c>
      <c r="D196" s="31" t="s">
        <v>243</v>
      </c>
      <c r="E196" s="18"/>
      <c r="F196" s="31"/>
      <c r="G196" s="365">
        <f>G197</f>
        <v>329.6</v>
      </c>
      <c r="H196" s="36"/>
      <c r="I196" s="88"/>
    </row>
    <row r="197" spans="1:9" s="48" customFormat="1" ht="15.75">
      <c r="A197" s="26" t="s">
        <v>209</v>
      </c>
      <c r="B197" s="44" t="s">
        <v>194</v>
      </c>
      <c r="C197" s="20" t="s">
        <v>187</v>
      </c>
      <c r="D197" s="31" t="s">
        <v>243</v>
      </c>
      <c r="E197" s="18" t="s">
        <v>67</v>
      </c>
      <c r="F197" s="31"/>
      <c r="G197" s="365">
        <f>'Прилож №5'!H184</f>
        <v>329.6</v>
      </c>
      <c r="H197" s="36"/>
      <c r="I197" s="88"/>
    </row>
    <row r="198" spans="1:9" s="48" customFormat="1" ht="15" customHeight="1">
      <c r="A198" s="183" t="s">
        <v>110</v>
      </c>
      <c r="B198" s="190" t="s">
        <v>194</v>
      </c>
      <c r="C198" s="163" t="s">
        <v>187</v>
      </c>
      <c r="D198" s="164" t="s">
        <v>28</v>
      </c>
      <c r="E198" s="150"/>
      <c r="F198" s="164"/>
      <c r="G198" s="193">
        <f>G199</f>
        <v>325059.9</v>
      </c>
      <c r="H198" s="165">
        <f>H199</f>
        <v>237208</v>
      </c>
      <c r="I198" s="88"/>
    </row>
    <row r="199" spans="1:9" s="48" customFormat="1" ht="15.75">
      <c r="A199" s="162" t="s">
        <v>27</v>
      </c>
      <c r="B199" s="190" t="s">
        <v>194</v>
      </c>
      <c r="C199" s="150" t="s">
        <v>187</v>
      </c>
      <c r="D199" s="151" t="s">
        <v>211</v>
      </c>
      <c r="E199" s="150"/>
      <c r="F199" s="151"/>
      <c r="G199" s="191">
        <f>G200</f>
        <v>325059.9</v>
      </c>
      <c r="H199" s="153">
        <f>H200</f>
        <v>237208</v>
      </c>
      <c r="I199" s="88"/>
    </row>
    <row r="200" spans="1:9" s="48" customFormat="1" ht="15.75">
      <c r="A200" s="162" t="s">
        <v>172</v>
      </c>
      <c r="B200" s="190" t="s">
        <v>194</v>
      </c>
      <c r="C200" s="150" t="s">
        <v>187</v>
      </c>
      <c r="D200" s="151" t="s">
        <v>211</v>
      </c>
      <c r="E200" s="150" t="s">
        <v>86</v>
      </c>
      <c r="F200" s="151"/>
      <c r="G200" s="191">
        <f>'Прилож №5'!H268</f>
        <v>325059.9</v>
      </c>
      <c r="H200" s="153">
        <f>'Прилож №5'!I268</f>
        <v>237208</v>
      </c>
      <c r="I200" s="88"/>
    </row>
    <row r="201" spans="1:9" s="48" customFormat="1" ht="15.75">
      <c r="A201" s="166" t="s">
        <v>31</v>
      </c>
      <c r="B201" s="190" t="s">
        <v>194</v>
      </c>
      <c r="C201" s="150" t="s">
        <v>187</v>
      </c>
      <c r="D201" s="151" t="s">
        <v>32</v>
      </c>
      <c r="E201" s="150"/>
      <c r="F201" s="151"/>
      <c r="G201" s="191">
        <f>G202</f>
        <v>73634.1</v>
      </c>
      <c r="H201" s="153">
        <f>H202</f>
        <v>0</v>
      </c>
      <c r="I201" s="88"/>
    </row>
    <row r="202" spans="1:9" s="48" customFormat="1" ht="15.75">
      <c r="A202" s="166" t="s">
        <v>27</v>
      </c>
      <c r="B202" s="190" t="s">
        <v>194</v>
      </c>
      <c r="C202" s="150" t="s">
        <v>187</v>
      </c>
      <c r="D202" s="151" t="s">
        <v>212</v>
      </c>
      <c r="E202" s="150"/>
      <c r="F202" s="151"/>
      <c r="G202" s="191">
        <f>G203</f>
        <v>73634.1</v>
      </c>
      <c r="H202" s="153">
        <f>H203</f>
        <v>0</v>
      </c>
      <c r="I202" s="88"/>
    </row>
    <row r="203" spans="1:9" s="48" customFormat="1" ht="15.75">
      <c r="A203" s="162" t="s">
        <v>172</v>
      </c>
      <c r="B203" s="190" t="s">
        <v>194</v>
      </c>
      <c r="C203" s="150" t="s">
        <v>187</v>
      </c>
      <c r="D203" s="151" t="s">
        <v>212</v>
      </c>
      <c r="E203" s="150" t="s">
        <v>86</v>
      </c>
      <c r="F203" s="151"/>
      <c r="G203" s="191">
        <f>'Прилож №5'!H271+'Прилож №5'!H315+'Прилож №5'!H409+'Прилож №5'!H187</f>
        <v>73634.1</v>
      </c>
      <c r="H203" s="153">
        <f>'Прилож №5'!I271+'Прилож №5'!I315+'Прилож №5'!I409</f>
        <v>0</v>
      </c>
      <c r="I203" s="88"/>
    </row>
    <row r="204" spans="1:9" s="48" customFormat="1" ht="15.75">
      <c r="A204" s="162" t="s">
        <v>125</v>
      </c>
      <c r="B204" s="190" t="s">
        <v>194</v>
      </c>
      <c r="C204" s="150" t="s">
        <v>187</v>
      </c>
      <c r="D204" s="151" t="s">
        <v>95</v>
      </c>
      <c r="E204" s="150"/>
      <c r="F204" s="151"/>
      <c r="G204" s="191">
        <f>G205+G207</f>
        <v>3781</v>
      </c>
      <c r="H204" s="153">
        <f>H205</f>
        <v>3781</v>
      </c>
      <c r="I204" s="88"/>
    </row>
    <row r="205" spans="1:9" s="48" customFormat="1" ht="15.75">
      <c r="A205" s="162" t="s">
        <v>97</v>
      </c>
      <c r="B205" s="190" t="s">
        <v>194</v>
      </c>
      <c r="C205" s="150" t="s">
        <v>187</v>
      </c>
      <c r="D205" s="151" t="s">
        <v>213</v>
      </c>
      <c r="E205" s="150"/>
      <c r="F205" s="151"/>
      <c r="G205" s="191">
        <f>G206</f>
        <v>3781</v>
      </c>
      <c r="H205" s="153">
        <f>H206</f>
        <v>3781</v>
      </c>
      <c r="I205" s="88"/>
    </row>
    <row r="206" spans="1:9" s="48" customFormat="1" ht="15" customHeight="1">
      <c r="A206" s="162" t="s">
        <v>172</v>
      </c>
      <c r="B206" s="190" t="s">
        <v>194</v>
      </c>
      <c r="C206" s="150" t="s">
        <v>187</v>
      </c>
      <c r="D206" s="151" t="s">
        <v>213</v>
      </c>
      <c r="E206" s="150" t="s">
        <v>86</v>
      </c>
      <c r="F206" s="151"/>
      <c r="G206" s="191">
        <f>'Прилож №5'!H274</f>
        <v>3781</v>
      </c>
      <c r="H206" s="153">
        <f>'Прилож №5'!I274</f>
        <v>3781</v>
      </c>
      <c r="I206" s="88"/>
    </row>
    <row r="207" spans="1:9" s="48" customFormat="1" ht="30" hidden="1">
      <c r="A207" s="183" t="s">
        <v>422</v>
      </c>
      <c r="B207" s="190" t="s">
        <v>194</v>
      </c>
      <c r="C207" s="150" t="s">
        <v>187</v>
      </c>
      <c r="D207" s="151" t="s">
        <v>423</v>
      </c>
      <c r="E207" s="150"/>
      <c r="F207" s="151"/>
      <c r="G207" s="191">
        <f>G208</f>
        <v>0</v>
      </c>
      <c r="H207" s="153"/>
      <c r="I207" s="88"/>
    </row>
    <row r="208" spans="1:9" s="48" customFormat="1" ht="15.75" hidden="1">
      <c r="A208" s="162" t="s">
        <v>172</v>
      </c>
      <c r="B208" s="190" t="s">
        <v>194</v>
      </c>
      <c r="C208" s="150" t="s">
        <v>187</v>
      </c>
      <c r="D208" s="151" t="s">
        <v>423</v>
      </c>
      <c r="E208" s="150" t="s">
        <v>86</v>
      </c>
      <c r="F208" s="151"/>
      <c r="G208" s="191">
        <f>'Прилож №5'!H276</f>
        <v>0</v>
      </c>
      <c r="H208" s="153"/>
      <c r="I208" s="88"/>
    </row>
    <row r="209" spans="1:9" s="48" customFormat="1" ht="15.75">
      <c r="A209" s="161" t="s">
        <v>29</v>
      </c>
      <c r="B209" s="188" t="s">
        <v>194</v>
      </c>
      <c r="C209" s="156" t="s">
        <v>194</v>
      </c>
      <c r="D209" s="157"/>
      <c r="E209" s="156"/>
      <c r="F209" s="157"/>
      <c r="G209" s="189">
        <f>G213+G210+G216</f>
        <v>7041.699999999999</v>
      </c>
      <c r="H209" s="159">
        <f>H213+H210</f>
        <v>0</v>
      </c>
      <c r="I209" s="88"/>
    </row>
    <row r="210" spans="1:9" s="48" customFormat="1" ht="15.75">
      <c r="A210" s="166" t="s">
        <v>92</v>
      </c>
      <c r="B210" s="190" t="s">
        <v>194</v>
      </c>
      <c r="C210" s="150" t="s">
        <v>194</v>
      </c>
      <c r="D210" s="151" t="s">
        <v>93</v>
      </c>
      <c r="E210" s="150"/>
      <c r="F210" s="151"/>
      <c r="G210" s="191">
        <f>G211</f>
        <v>3702.6</v>
      </c>
      <c r="H210" s="205">
        <f>H211</f>
        <v>0</v>
      </c>
      <c r="I210" s="88"/>
    </row>
    <row r="211" spans="1:9" s="48" customFormat="1" ht="15.75">
      <c r="A211" s="166" t="s">
        <v>94</v>
      </c>
      <c r="B211" s="190" t="s">
        <v>194</v>
      </c>
      <c r="C211" s="150" t="s">
        <v>194</v>
      </c>
      <c r="D211" s="151" t="s">
        <v>214</v>
      </c>
      <c r="E211" s="150"/>
      <c r="F211" s="151"/>
      <c r="G211" s="191">
        <f>G212</f>
        <v>3702.6</v>
      </c>
      <c r="H211" s="205">
        <f>H212</f>
        <v>0</v>
      </c>
      <c r="I211" s="88"/>
    </row>
    <row r="212" spans="1:9" s="48" customFormat="1" ht="15.75">
      <c r="A212" s="162" t="s">
        <v>172</v>
      </c>
      <c r="B212" s="190" t="s">
        <v>194</v>
      </c>
      <c r="C212" s="150" t="s">
        <v>194</v>
      </c>
      <c r="D212" s="151" t="s">
        <v>214</v>
      </c>
      <c r="E212" s="150" t="s">
        <v>86</v>
      </c>
      <c r="F212" s="151" t="s">
        <v>15</v>
      </c>
      <c r="G212" s="191">
        <f>'Прилож №5'!H413</f>
        <v>3702.6</v>
      </c>
      <c r="H212" s="205">
        <f>'Прилож №5'!I413</f>
        <v>0</v>
      </c>
      <c r="I212" s="88"/>
    </row>
    <row r="213" spans="1:9" s="48" customFormat="1" ht="15.75">
      <c r="A213" s="149" t="s">
        <v>215</v>
      </c>
      <c r="B213" s="190" t="s">
        <v>194</v>
      </c>
      <c r="C213" s="150" t="s">
        <v>194</v>
      </c>
      <c r="D213" s="151" t="s">
        <v>30</v>
      </c>
      <c r="E213" s="150"/>
      <c r="F213" s="151"/>
      <c r="G213" s="191">
        <f>G214</f>
        <v>2543.7</v>
      </c>
      <c r="H213" s="153">
        <f>H214</f>
        <v>0</v>
      </c>
      <c r="I213" s="88"/>
    </row>
    <row r="214" spans="1:9" s="48" customFormat="1" ht="15.75">
      <c r="A214" s="166" t="s">
        <v>216</v>
      </c>
      <c r="B214" s="190" t="s">
        <v>194</v>
      </c>
      <c r="C214" s="150" t="s">
        <v>194</v>
      </c>
      <c r="D214" s="151" t="s">
        <v>217</v>
      </c>
      <c r="E214" s="150"/>
      <c r="F214" s="151"/>
      <c r="G214" s="191">
        <f>G215</f>
        <v>2543.7</v>
      </c>
      <c r="H214" s="153">
        <f>H215</f>
        <v>0</v>
      </c>
      <c r="I214" s="88"/>
    </row>
    <row r="215" spans="1:9" s="48" customFormat="1" ht="15.75">
      <c r="A215" s="162" t="s">
        <v>172</v>
      </c>
      <c r="B215" s="190" t="s">
        <v>194</v>
      </c>
      <c r="C215" s="150" t="s">
        <v>194</v>
      </c>
      <c r="D215" s="151" t="s">
        <v>217</v>
      </c>
      <c r="E215" s="150" t="s">
        <v>86</v>
      </c>
      <c r="F215" s="151"/>
      <c r="G215" s="191">
        <f>'Прилож №5'!H280+'Прилож №5'!H416</f>
        <v>2543.7</v>
      </c>
      <c r="H215" s="153">
        <f>'Прилож №5'!I280+'Прилож №5'!I416</f>
        <v>0</v>
      </c>
      <c r="I215" s="88"/>
    </row>
    <row r="216" spans="1:9" s="48" customFormat="1" ht="15.75">
      <c r="A216" s="25" t="s">
        <v>131</v>
      </c>
      <c r="B216" s="190" t="s">
        <v>194</v>
      </c>
      <c r="C216" s="150" t="s">
        <v>194</v>
      </c>
      <c r="D216" s="151" t="s">
        <v>132</v>
      </c>
      <c r="E216" s="150"/>
      <c r="F216" s="151"/>
      <c r="G216" s="191">
        <f>G217</f>
        <v>795.4000000000001</v>
      </c>
      <c r="H216" s="153"/>
      <c r="I216" s="88"/>
    </row>
    <row r="217" spans="1:9" s="48" customFormat="1" ht="26.25">
      <c r="A217" s="47" t="s">
        <v>255</v>
      </c>
      <c r="B217" s="190" t="s">
        <v>194</v>
      </c>
      <c r="C217" s="150" t="s">
        <v>194</v>
      </c>
      <c r="D217" s="151" t="s">
        <v>221</v>
      </c>
      <c r="E217" s="150"/>
      <c r="F217" s="151"/>
      <c r="G217" s="191">
        <f>G218</f>
        <v>795.4000000000001</v>
      </c>
      <c r="H217" s="153"/>
      <c r="I217" s="88"/>
    </row>
    <row r="218" spans="1:9" s="48" customFormat="1" ht="15.75">
      <c r="A218" s="27" t="s">
        <v>146</v>
      </c>
      <c r="B218" s="190" t="s">
        <v>194</v>
      </c>
      <c r="C218" s="150" t="s">
        <v>194</v>
      </c>
      <c r="D218" s="151" t="s">
        <v>221</v>
      </c>
      <c r="E218" s="150" t="s">
        <v>278</v>
      </c>
      <c r="F218" s="151"/>
      <c r="G218" s="191">
        <f>'Прилож №5'!H419</f>
        <v>795.4000000000001</v>
      </c>
      <c r="H218" s="153"/>
      <c r="I218" s="88"/>
    </row>
    <row r="219" spans="1:9" s="48" customFormat="1" ht="15.75">
      <c r="A219" s="161" t="s">
        <v>33</v>
      </c>
      <c r="B219" s="188" t="s">
        <v>194</v>
      </c>
      <c r="C219" s="156" t="s">
        <v>192</v>
      </c>
      <c r="D219" s="157"/>
      <c r="E219" s="156"/>
      <c r="F219" s="157"/>
      <c r="G219" s="189">
        <f>G220+G232+G235+G223</f>
        <v>43084.9</v>
      </c>
      <c r="H219" s="159">
        <f>H220+H232+H235+H223</f>
        <v>10025.5</v>
      </c>
      <c r="I219" s="88"/>
    </row>
    <row r="220" spans="1:9" s="48" customFormat="1" ht="15.75">
      <c r="A220" s="149" t="s">
        <v>147</v>
      </c>
      <c r="B220" s="190" t="s">
        <v>194</v>
      </c>
      <c r="C220" s="150" t="s">
        <v>192</v>
      </c>
      <c r="D220" s="151" t="s">
        <v>277</v>
      </c>
      <c r="E220" s="150"/>
      <c r="F220" s="151"/>
      <c r="G220" s="191">
        <f>G221</f>
        <v>12119.699999999999</v>
      </c>
      <c r="H220" s="153">
        <f>H221</f>
        <v>0</v>
      </c>
      <c r="I220" s="88"/>
    </row>
    <row r="221" spans="1:9" s="48" customFormat="1" ht="15.75">
      <c r="A221" s="154" t="s">
        <v>50</v>
      </c>
      <c r="B221" s="190" t="s">
        <v>194</v>
      </c>
      <c r="C221" s="150" t="s">
        <v>192</v>
      </c>
      <c r="D221" s="151" t="s">
        <v>279</v>
      </c>
      <c r="E221" s="150"/>
      <c r="F221" s="151"/>
      <c r="G221" s="191">
        <f>G222</f>
        <v>12119.699999999999</v>
      </c>
      <c r="H221" s="153">
        <f>H222</f>
        <v>0</v>
      </c>
      <c r="I221" s="88"/>
    </row>
    <row r="222" spans="1:9" s="48" customFormat="1" ht="15.75">
      <c r="A222" s="154" t="s">
        <v>146</v>
      </c>
      <c r="B222" s="190" t="s">
        <v>194</v>
      </c>
      <c r="C222" s="150" t="s">
        <v>192</v>
      </c>
      <c r="D222" s="151" t="s">
        <v>279</v>
      </c>
      <c r="E222" s="150" t="s">
        <v>278</v>
      </c>
      <c r="F222" s="151"/>
      <c r="G222" s="191">
        <f>'Прилож №5'!H284</f>
        <v>12119.699999999999</v>
      </c>
      <c r="H222" s="153">
        <f>'Прилож №5'!I284</f>
        <v>0</v>
      </c>
      <c r="I222" s="88"/>
    </row>
    <row r="223" spans="1:9" s="48" customFormat="1" ht="15.75">
      <c r="A223" s="162" t="s">
        <v>270</v>
      </c>
      <c r="B223" s="190" t="s">
        <v>194</v>
      </c>
      <c r="C223" s="150" t="s">
        <v>192</v>
      </c>
      <c r="D223" s="151" t="s">
        <v>271</v>
      </c>
      <c r="E223" s="150"/>
      <c r="F223" s="273"/>
      <c r="G223" s="185">
        <f>G224+G226+G228+G230</f>
        <v>9312</v>
      </c>
      <c r="H223" s="153">
        <f>H224</f>
        <v>9312</v>
      </c>
      <c r="I223" s="88"/>
    </row>
    <row r="224" spans="1:9" s="48" customFormat="1" ht="15.75">
      <c r="A224" s="162" t="s">
        <v>273</v>
      </c>
      <c r="B224" s="190" t="s">
        <v>194</v>
      </c>
      <c r="C224" s="150" t="s">
        <v>192</v>
      </c>
      <c r="D224" s="151" t="s">
        <v>272</v>
      </c>
      <c r="E224" s="150"/>
      <c r="F224" s="273"/>
      <c r="G224" s="185">
        <f>G225</f>
        <v>9312</v>
      </c>
      <c r="H224" s="153">
        <f>H225</f>
        <v>9312</v>
      </c>
      <c r="I224" s="88"/>
    </row>
    <row r="225" spans="1:9" s="48" customFormat="1" ht="13.5" customHeight="1">
      <c r="A225" s="162" t="s">
        <v>274</v>
      </c>
      <c r="B225" s="190" t="s">
        <v>194</v>
      </c>
      <c r="C225" s="150" t="s">
        <v>192</v>
      </c>
      <c r="D225" s="151" t="s">
        <v>272</v>
      </c>
      <c r="E225" s="150" t="s">
        <v>275</v>
      </c>
      <c r="F225" s="273"/>
      <c r="G225" s="185">
        <f>'Прилож №5'!H287</f>
        <v>9312</v>
      </c>
      <c r="H225" s="153">
        <f>'Прилож №5'!I287</f>
        <v>9312</v>
      </c>
      <c r="I225" s="88"/>
    </row>
    <row r="226" spans="1:9" s="48" customFormat="1" ht="15.75" hidden="1">
      <c r="A226" s="162" t="s">
        <v>415</v>
      </c>
      <c r="B226" s="190" t="s">
        <v>194</v>
      </c>
      <c r="C226" s="150" t="s">
        <v>192</v>
      </c>
      <c r="D226" s="151" t="s">
        <v>417</v>
      </c>
      <c r="E226" s="150"/>
      <c r="F226" s="151"/>
      <c r="G226" s="185">
        <f>G227</f>
        <v>0</v>
      </c>
      <c r="H226" s="153"/>
      <c r="I226" s="88"/>
    </row>
    <row r="227" spans="1:9" s="48" customFormat="1" ht="15.75" hidden="1">
      <c r="A227" s="162" t="s">
        <v>172</v>
      </c>
      <c r="B227" s="190" t="s">
        <v>194</v>
      </c>
      <c r="C227" s="150" t="s">
        <v>192</v>
      </c>
      <c r="D227" s="151" t="s">
        <v>417</v>
      </c>
      <c r="E227" s="150" t="s">
        <v>86</v>
      </c>
      <c r="F227" s="151"/>
      <c r="G227" s="185">
        <f>'Прилож №5'!H289</f>
        <v>0</v>
      </c>
      <c r="H227" s="153"/>
      <c r="I227" s="88"/>
    </row>
    <row r="228" spans="1:9" s="48" customFormat="1" ht="0.75" customHeight="1" hidden="1">
      <c r="A228" s="162" t="s">
        <v>418</v>
      </c>
      <c r="B228" s="190" t="s">
        <v>194</v>
      </c>
      <c r="C228" s="150" t="s">
        <v>192</v>
      </c>
      <c r="D228" s="151" t="s">
        <v>419</v>
      </c>
      <c r="E228" s="150"/>
      <c r="F228" s="151"/>
      <c r="G228" s="185">
        <f>G229</f>
        <v>0</v>
      </c>
      <c r="H228" s="153"/>
      <c r="I228" s="88"/>
    </row>
    <row r="229" spans="1:9" s="48" customFormat="1" ht="15.75" hidden="1">
      <c r="A229" s="162" t="s">
        <v>172</v>
      </c>
      <c r="B229" s="190" t="s">
        <v>194</v>
      </c>
      <c r="C229" s="150" t="s">
        <v>192</v>
      </c>
      <c r="D229" s="151" t="s">
        <v>419</v>
      </c>
      <c r="E229" s="150" t="s">
        <v>86</v>
      </c>
      <c r="F229" s="151"/>
      <c r="G229" s="185">
        <f>'Прилож №5'!H291</f>
        <v>0</v>
      </c>
      <c r="H229" s="153"/>
      <c r="I229" s="88"/>
    </row>
    <row r="230" spans="1:9" s="48" customFormat="1" ht="0" customHeight="1" hidden="1">
      <c r="A230" s="183" t="s">
        <v>420</v>
      </c>
      <c r="B230" s="190" t="s">
        <v>194</v>
      </c>
      <c r="C230" s="150" t="s">
        <v>192</v>
      </c>
      <c r="D230" s="151" t="s">
        <v>421</v>
      </c>
      <c r="E230" s="150"/>
      <c r="F230" s="151"/>
      <c r="G230" s="185">
        <f>G231</f>
        <v>0</v>
      </c>
      <c r="H230" s="153"/>
      <c r="I230" s="88"/>
    </row>
    <row r="231" spans="1:9" s="48" customFormat="1" ht="15.75" hidden="1">
      <c r="A231" s="162" t="s">
        <v>172</v>
      </c>
      <c r="B231" s="190" t="s">
        <v>194</v>
      </c>
      <c r="C231" s="150" t="s">
        <v>192</v>
      </c>
      <c r="D231" s="151" t="s">
        <v>421</v>
      </c>
      <c r="E231" s="150" t="s">
        <v>86</v>
      </c>
      <c r="F231" s="151"/>
      <c r="G231" s="187">
        <f>'Прилож №5'!H293</f>
        <v>0</v>
      </c>
      <c r="H231" s="153"/>
      <c r="I231" s="88"/>
    </row>
    <row r="232" spans="1:9" s="48" customFormat="1" ht="60">
      <c r="A232" s="183" t="s">
        <v>111</v>
      </c>
      <c r="B232" s="190" t="s">
        <v>194</v>
      </c>
      <c r="C232" s="150" t="s">
        <v>192</v>
      </c>
      <c r="D232" s="151" t="s">
        <v>40</v>
      </c>
      <c r="E232" s="150"/>
      <c r="F232" s="151"/>
      <c r="G232" s="191">
        <f>G233</f>
        <v>11323.800000000001</v>
      </c>
      <c r="H232" s="153">
        <f>H233</f>
        <v>713.5</v>
      </c>
      <c r="I232" s="88"/>
    </row>
    <row r="233" spans="1:9" s="48" customFormat="1" ht="15.75">
      <c r="A233" s="166" t="s">
        <v>27</v>
      </c>
      <c r="B233" s="190" t="s">
        <v>194</v>
      </c>
      <c r="C233" s="150" t="s">
        <v>192</v>
      </c>
      <c r="D233" s="151" t="s">
        <v>218</v>
      </c>
      <c r="E233" s="150"/>
      <c r="F233" s="151"/>
      <c r="G233" s="191">
        <f>G234</f>
        <v>11323.800000000001</v>
      </c>
      <c r="H233" s="153">
        <f>H234</f>
        <v>713.5</v>
      </c>
      <c r="I233" s="88"/>
    </row>
    <row r="234" spans="1:9" s="48" customFormat="1" ht="15.75">
      <c r="A234" s="162" t="s">
        <v>172</v>
      </c>
      <c r="B234" s="190" t="s">
        <v>194</v>
      </c>
      <c r="C234" s="150" t="s">
        <v>192</v>
      </c>
      <c r="D234" s="151" t="s">
        <v>218</v>
      </c>
      <c r="E234" s="150" t="s">
        <v>86</v>
      </c>
      <c r="F234" s="151"/>
      <c r="G234" s="191">
        <f>'Прилож №5'!H296</f>
        <v>11323.800000000001</v>
      </c>
      <c r="H234" s="153">
        <f>'Прилож №5'!I296</f>
        <v>713.5</v>
      </c>
      <c r="I234" s="88"/>
    </row>
    <row r="235" spans="1:9" s="48" customFormat="1" ht="15.75">
      <c r="A235" s="166" t="s">
        <v>131</v>
      </c>
      <c r="B235" s="252" t="s">
        <v>194</v>
      </c>
      <c r="C235" s="179" t="s">
        <v>192</v>
      </c>
      <c r="D235" s="180" t="s">
        <v>132</v>
      </c>
      <c r="E235" s="179"/>
      <c r="F235" s="180"/>
      <c r="G235" s="197">
        <f>G236</f>
        <v>10329.4</v>
      </c>
      <c r="H235" s="181">
        <f>H236</f>
        <v>0</v>
      </c>
      <c r="I235" s="88"/>
    </row>
    <row r="236" spans="1:9" s="48" customFormat="1" ht="30.75" thickBot="1">
      <c r="A236" s="149" t="s">
        <v>219</v>
      </c>
      <c r="B236" s="255" t="s">
        <v>194</v>
      </c>
      <c r="C236" s="207" t="s">
        <v>192</v>
      </c>
      <c r="D236" s="206" t="s">
        <v>220</v>
      </c>
      <c r="E236" s="207"/>
      <c r="F236" s="206"/>
      <c r="G236" s="246">
        <f>G237</f>
        <v>10329.4</v>
      </c>
      <c r="H236" s="208">
        <f>H237</f>
        <v>0</v>
      </c>
      <c r="I236" s="88"/>
    </row>
    <row r="237" spans="1:9" s="48" customFormat="1" ht="16.5" thickBot="1">
      <c r="A237" s="27" t="s">
        <v>146</v>
      </c>
      <c r="B237" s="255" t="s">
        <v>194</v>
      </c>
      <c r="C237" s="207" t="s">
        <v>192</v>
      </c>
      <c r="D237" s="206" t="s">
        <v>220</v>
      </c>
      <c r="E237" s="207" t="s">
        <v>278</v>
      </c>
      <c r="F237" s="206"/>
      <c r="G237" s="246">
        <f>'Прилож №5'!H299</f>
        <v>10329.4</v>
      </c>
      <c r="H237" s="208">
        <f>'Прилож №5'!I299</f>
        <v>0</v>
      </c>
      <c r="I237" s="88"/>
    </row>
    <row r="238" spans="1:9" s="48" customFormat="1" ht="16.5" thickBot="1">
      <c r="A238" s="239" t="s">
        <v>116</v>
      </c>
      <c r="B238" s="250" t="s">
        <v>195</v>
      </c>
      <c r="C238" s="169" t="s">
        <v>126</v>
      </c>
      <c r="D238" s="170"/>
      <c r="E238" s="169"/>
      <c r="F238" s="194"/>
      <c r="G238" s="184">
        <f>G239+G258</f>
        <v>96747.49999999999</v>
      </c>
      <c r="H238" s="171">
        <f>H239+H258</f>
        <v>3200</v>
      </c>
      <c r="I238" s="88"/>
    </row>
    <row r="239" spans="1:9" s="48" customFormat="1" ht="15.75">
      <c r="A239" s="160" t="s">
        <v>34</v>
      </c>
      <c r="B239" s="254" t="s">
        <v>195</v>
      </c>
      <c r="C239" s="202" t="s">
        <v>186</v>
      </c>
      <c r="D239" s="147"/>
      <c r="E239" s="202"/>
      <c r="F239" s="147" t="s">
        <v>10</v>
      </c>
      <c r="G239" s="212">
        <f>G240+G243+G246+G249+G252+G255</f>
        <v>89988.09999999999</v>
      </c>
      <c r="H239" s="203">
        <f>H240+H243+H246+H249+H252+H255</f>
        <v>3200</v>
      </c>
      <c r="I239" s="88"/>
    </row>
    <row r="240" spans="1:9" s="48" customFormat="1" ht="30">
      <c r="A240" s="149" t="s">
        <v>119</v>
      </c>
      <c r="B240" s="190" t="s">
        <v>195</v>
      </c>
      <c r="C240" s="150" t="s">
        <v>186</v>
      </c>
      <c r="D240" s="151" t="s">
        <v>35</v>
      </c>
      <c r="E240" s="150"/>
      <c r="F240" s="151" t="s">
        <v>11</v>
      </c>
      <c r="G240" s="191">
        <f>G241</f>
        <v>45627.4</v>
      </c>
      <c r="H240" s="153">
        <f>H241</f>
        <v>3200</v>
      </c>
      <c r="I240" s="88"/>
    </row>
    <row r="241" spans="1:9" s="48" customFormat="1" ht="15.75">
      <c r="A241" s="162" t="s">
        <v>27</v>
      </c>
      <c r="B241" s="190" t="s">
        <v>195</v>
      </c>
      <c r="C241" s="150" t="s">
        <v>186</v>
      </c>
      <c r="D241" s="151" t="s">
        <v>222</v>
      </c>
      <c r="E241" s="150"/>
      <c r="F241" s="151"/>
      <c r="G241" s="191">
        <f>G242</f>
        <v>45627.4</v>
      </c>
      <c r="H241" s="153">
        <f>H242</f>
        <v>3200</v>
      </c>
      <c r="I241" s="88"/>
    </row>
    <row r="242" spans="1:9" s="48" customFormat="1" ht="15.75">
      <c r="A242" s="166" t="s">
        <v>172</v>
      </c>
      <c r="B242" s="190" t="s">
        <v>195</v>
      </c>
      <c r="C242" s="150" t="s">
        <v>186</v>
      </c>
      <c r="D242" s="151" t="s">
        <v>222</v>
      </c>
      <c r="E242" s="150" t="s">
        <v>86</v>
      </c>
      <c r="F242" s="151"/>
      <c r="G242" s="191">
        <f>'Прилож №5'!H320</f>
        <v>45627.4</v>
      </c>
      <c r="H242" s="153">
        <f>'Прилож №5'!I320</f>
        <v>3200</v>
      </c>
      <c r="I242" s="88"/>
    </row>
    <row r="243" spans="1:9" s="48" customFormat="1" ht="15.75">
      <c r="A243" s="166" t="s">
        <v>13</v>
      </c>
      <c r="B243" s="190" t="s">
        <v>195</v>
      </c>
      <c r="C243" s="150" t="s">
        <v>186</v>
      </c>
      <c r="D243" s="151" t="s">
        <v>36</v>
      </c>
      <c r="E243" s="150"/>
      <c r="F243" s="151"/>
      <c r="G243" s="191">
        <f>G244</f>
        <v>3785.5000000000005</v>
      </c>
      <c r="H243" s="153">
        <f>H244</f>
        <v>0</v>
      </c>
      <c r="I243" s="88"/>
    </row>
    <row r="244" spans="1:9" s="48" customFormat="1" ht="15.75">
      <c r="A244" s="162" t="s">
        <v>27</v>
      </c>
      <c r="B244" s="190" t="s">
        <v>195</v>
      </c>
      <c r="C244" s="150" t="s">
        <v>186</v>
      </c>
      <c r="D244" s="151" t="s">
        <v>223</v>
      </c>
      <c r="E244" s="150"/>
      <c r="F244" s="151"/>
      <c r="G244" s="191">
        <f>G245</f>
        <v>3785.5000000000005</v>
      </c>
      <c r="H244" s="153">
        <f>H245</f>
        <v>0</v>
      </c>
      <c r="I244" s="88"/>
    </row>
    <row r="245" spans="1:9" s="48" customFormat="1" ht="15.75">
      <c r="A245" s="166" t="s">
        <v>172</v>
      </c>
      <c r="B245" s="190" t="s">
        <v>195</v>
      </c>
      <c r="C245" s="150" t="s">
        <v>186</v>
      </c>
      <c r="D245" s="151" t="s">
        <v>223</v>
      </c>
      <c r="E245" s="150" t="s">
        <v>86</v>
      </c>
      <c r="F245" s="151"/>
      <c r="G245" s="191">
        <f>'Прилож №5'!H323</f>
        <v>3785.5000000000005</v>
      </c>
      <c r="H245" s="153">
        <f>'Прилож №5'!I323</f>
        <v>0</v>
      </c>
      <c r="I245" s="88"/>
    </row>
    <row r="246" spans="1:9" s="48" customFormat="1" ht="15.75">
      <c r="A246" s="166" t="s">
        <v>14</v>
      </c>
      <c r="B246" s="190" t="s">
        <v>195</v>
      </c>
      <c r="C246" s="150" t="s">
        <v>186</v>
      </c>
      <c r="D246" s="151" t="s">
        <v>37</v>
      </c>
      <c r="E246" s="150"/>
      <c r="F246" s="151"/>
      <c r="G246" s="191">
        <f>G247</f>
        <v>14201.2</v>
      </c>
      <c r="H246" s="153">
        <f>H247</f>
        <v>0</v>
      </c>
      <c r="I246" s="88"/>
    </row>
    <row r="247" spans="1:9" s="48" customFormat="1" ht="15.75">
      <c r="A247" s="162" t="s">
        <v>27</v>
      </c>
      <c r="B247" s="190" t="s">
        <v>195</v>
      </c>
      <c r="C247" s="150" t="s">
        <v>186</v>
      </c>
      <c r="D247" s="151" t="s">
        <v>224</v>
      </c>
      <c r="E247" s="150"/>
      <c r="F247" s="151"/>
      <c r="G247" s="191">
        <f>G248</f>
        <v>14201.2</v>
      </c>
      <c r="H247" s="153">
        <f>H248</f>
        <v>0</v>
      </c>
      <c r="I247" s="88"/>
    </row>
    <row r="248" spans="1:9" s="48" customFormat="1" ht="15.75">
      <c r="A248" s="166" t="s">
        <v>172</v>
      </c>
      <c r="B248" s="190" t="s">
        <v>195</v>
      </c>
      <c r="C248" s="150" t="s">
        <v>186</v>
      </c>
      <c r="D248" s="151" t="s">
        <v>224</v>
      </c>
      <c r="E248" s="150" t="s">
        <v>86</v>
      </c>
      <c r="F248" s="151"/>
      <c r="G248" s="191">
        <f>'Прилож №5'!H326</f>
        <v>14201.2</v>
      </c>
      <c r="H248" s="153">
        <f>'Прилож №5'!I326</f>
        <v>0</v>
      </c>
      <c r="I248" s="88"/>
    </row>
    <row r="249" spans="1:9" s="48" customFormat="1" ht="30">
      <c r="A249" s="149" t="s">
        <v>112</v>
      </c>
      <c r="B249" s="190" t="s">
        <v>195</v>
      </c>
      <c r="C249" s="150" t="s">
        <v>186</v>
      </c>
      <c r="D249" s="151" t="s">
        <v>38</v>
      </c>
      <c r="E249" s="150"/>
      <c r="F249" s="151"/>
      <c r="G249" s="191">
        <f>G250</f>
        <v>24054.7</v>
      </c>
      <c r="H249" s="153">
        <f>H250</f>
        <v>0</v>
      </c>
      <c r="I249" s="88"/>
    </row>
    <row r="250" spans="1:9" s="48" customFormat="1" ht="15.75">
      <c r="A250" s="162" t="s">
        <v>27</v>
      </c>
      <c r="B250" s="190" t="s">
        <v>195</v>
      </c>
      <c r="C250" s="150" t="s">
        <v>186</v>
      </c>
      <c r="D250" s="151" t="s">
        <v>225</v>
      </c>
      <c r="E250" s="150"/>
      <c r="F250" s="151"/>
      <c r="G250" s="191">
        <f>G251</f>
        <v>24054.7</v>
      </c>
      <c r="H250" s="153">
        <f>H251</f>
        <v>0</v>
      </c>
      <c r="I250" s="88"/>
    </row>
    <row r="251" spans="1:9" s="48" customFormat="1" ht="15.75">
      <c r="A251" s="166" t="s">
        <v>172</v>
      </c>
      <c r="B251" s="190" t="s">
        <v>195</v>
      </c>
      <c r="C251" s="150" t="s">
        <v>186</v>
      </c>
      <c r="D251" s="164" t="s">
        <v>225</v>
      </c>
      <c r="E251" s="150" t="s">
        <v>86</v>
      </c>
      <c r="F251" s="164"/>
      <c r="G251" s="191">
        <f>'Прилож №5'!H329</f>
        <v>24054.7</v>
      </c>
      <c r="H251" s="153">
        <f>'Прилож №5'!I329</f>
        <v>0</v>
      </c>
      <c r="I251" s="88"/>
    </row>
    <row r="252" spans="1:9" s="48" customFormat="1" ht="30">
      <c r="A252" s="149" t="s">
        <v>100</v>
      </c>
      <c r="B252" s="190" t="s">
        <v>195</v>
      </c>
      <c r="C252" s="150" t="s">
        <v>186</v>
      </c>
      <c r="D252" s="164" t="s">
        <v>39</v>
      </c>
      <c r="E252" s="150"/>
      <c r="F252" s="164" t="s">
        <v>12</v>
      </c>
      <c r="G252" s="191">
        <f>G253</f>
        <v>2.9</v>
      </c>
      <c r="H252" s="153">
        <f>H253</f>
        <v>0</v>
      </c>
      <c r="I252" s="88"/>
    </row>
    <row r="253" spans="1:9" s="48" customFormat="1" ht="30">
      <c r="A253" s="183" t="s">
        <v>101</v>
      </c>
      <c r="B253" s="190" t="s">
        <v>195</v>
      </c>
      <c r="C253" s="150" t="s">
        <v>186</v>
      </c>
      <c r="D253" s="164" t="s">
        <v>226</v>
      </c>
      <c r="E253" s="163"/>
      <c r="F253" s="164"/>
      <c r="G253" s="191">
        <f>G254</f>
        <v>2.9</v>
      </c>
      <c r="H253" s="153">
        <f>H254</f>
        <v>0</v>
      </c>
      <c r="I253" s="88"/>
    </row>
    <row r="254" spans="1:9" s="48" customFormat="1" ht="15.75">
      <c r="A254" s="166" t="s">
        <v>172</v>
      </c>
      <c r="B254" s="190" t="s">
        <v>195</v>
      </c>
      <c r="C254" s="150" t="s">
        <v>186</v>
      </c>
      <c r="D254" s="164" t="s">
        <v>226</v>
      </c>
      <c r="E254" s="163" t="s">
        <v>86</v>
      </c>
      <c r="F254" s="164"/>
      <c r="G254" s="191">
        <f>'Прилож №5'!H400+'Прилож №5'!H192</f>
        <v>2.9</v>
      </c>
      <c r="H254" s="153">
        <f>'Прилож №5'!I400+'Прилож №5'!I192</f>
        <v>0</v>
      </c>
      <c r="I254" s="88"/>
    </row>
    <row r="255" spans="1:9" s="48" customFormat="1" ht="15.75">
      <c r="A255" s="166" t="s">
        <v>131</v>
      </c>
      <c r="B255" s="190" t="s">
        <v>195</v>
      </c>
      <c r="C255" s="163" t="s">
        <v>186</v>
      </c>
      <c r="D255" s="164" t="s">
        <v>132</v>
      </c>
      <c r="E255" s="163"/>
      <c r="F255" s="164"/>
      <c r="G255" s="191">
        <f>G256</f>
        <v>2316.3999999999996</v>
      </c>
      <c r="H255" s="153">
        <f>H256</f>
        <v>0</v>
      </c>
      <c r="I255" s="88"/>
    </row>
    <row r="256" spans="1:9" s="48" customFormat="1" ht="30">
      <c r="A256" s="149" t="s">
        <v>253</v>
      </c>
      <c r="B256" s="190" t="s">
        <v>195</v>
      </c>
      <c r="C256" s="163" t="s">
        <v>186</v>
      </c>
      <c r="D256" s="164" t="s">
        <v>252</v>
      </c>
      <c r="E256" s="163"/>
      <c r="F256" s="164"/>
      <c r="G256" s="191">
        <f>G257</f>
        <v>2316.3999999999996</v>
      </c>
      <c r="H256" s="153">
        <f>H257</f>
        <v>0</v>
      </c>
      <c r="I256" s="88"/>
    </row>
    <row r="257" spans="1:9" s="48" customFormat="1" ht="30">
      <c r="A257" s="149" t="s">
        <v>352</v>
      </c>
      <c r="B257" s="190" t="s">
        <v>195</v>
      </c>
      <c r="C257" s="163" t="s">
        <v>186</v>
      </c>
      <c r="D257" s="164" t="s">
        <v>252</v>
      </c>
      <c r="E257" s="163" t="s">
        <v>353</v>
      </c>
      <c r="F257" s="164"/>
      <c r="G257" s="191">
        <f>'Прилож №5'!H332+'Прилож №5'!H195+'Прилож №5'!H403</f>
        <v>2316.3999999999996</v>
      </c>
      <c r="H257" s="153"/>
      <c r="I257" s="88"/>
    </row>
    <row r="258" spans="1:9" s="48" customFormat="1" ht="29.25">
      <c r="A258" s="155" t="s">
        <v>113</v>
      </c>
      <c r="B258" s="256" t="s">
        <v>195</v>
      </c>
      <c r="C258" s="182" t="s">
        <v>205</v>
      </c>
      <c r="D258" s="204" t="s">
        <v>47</v>
      </c>
      <c r="E258" s="182" t="s">
        <v>49</v>
      </c>
      <c r="F258" s="204"/>
      <c r="G258" s="247">
        <f>G259+G262</f>
        <v>6759.4</v>
      </c>
      <c r="H258" s="209">
        <f>H259+H262</f>
        <v>0</v>
      </c>
      <c r="I258" s="88"/>
    </row>
    <row r="259" spans="1:9" s="48" customFormat="1" ht="18" customHeight="1">
      <c r="A259" s="149" t="s">
        <v>147</v>
      </c>
      <c r="B259" s="190" t="s">
        <v>195</v>
      </c>
      <c r="C259" s="150" t="s">
        <v>205</v>
      </c>
      <c r="D259" s="151" t="s">
        <v>277</v>
      </c>
      <c r="E259" s="150"/>
      <c r="F259" s="164"/>
      <c r="G259" s="193">
        <f>G260</f>
        <v>4107</v>
      </c>
      <c r="H259" s="165">
        <f>H260</f>
        <v>0</v>
      </c>
      <c r="I259" s="88"/>
    </row>
    <row r="260" spans="1:9" s="48" customFormat="1" ht="15.75">
      <c r="A260" s="154" t="s">
        <v>50</v>
      </c>
      <c r="B260" s="190" t="s">
        <v>195</v>
      </c>
      <c r="C260" s="150" t="s">
        <v>205</v>
      </c>
      <c r="D260" s="151" t="s">
        <v>279</v>
      </c>
      <c r="E260" s="150"/>
      <c r="F260" s="164"/>
      <c r="G260" s="193">
        <f>G261</f>
        <v>4107</v>
      </c>
      <c r="H260" s="165">
        <f>H261</f>
        <v>0</v>
      </c>
      <c r="I260" s="88"/>
    </row>
    <row r="261" spans="1:9" s="48" customFormat="1" ht="15.75">
      <c r="A261" s="154" t="s">
        <v>146</v>
      </c>
      <c r="B261" s="190" t="s">
        <v>195</v>
      </c>
      <c r="C261" s="150" t="s">
        <v>205</v>
      </c>
      <c r="D261" s="151" t="s">
        <v>279</v>
      </c>
      <c r="E261" s="150" t="s">
        <v>278</v>
      </c>
      <c r="F261" s="164"/>
      <c r="G261" s="193">
        <f>'Прилож №5'!H336</f>
        <v>4107</v>
      </c>
      <c r="H261" s="165">
        <f>'Прилож №5'!I336</f>
        <v>0</v>
      </c>
      <c r="I261" s="88"/>
    </row>
    <row r="262" spans="1:9" s="48" customFormat="1" ht="60">
      <c r="A262" s="183" t="s">
        <v>111</v>
      </c>
      <c r="B262" s="190" t="s">
        <v>195</v>
      </c>
      <c r="C262" s="150" t="s">
        <v>205</v>
      </c>
      <c r="D262" s="151" t="s">
        <v>40</v>
      </c>
      <c r="E262" s="150"/>
      <c r="F262" s="151"/>
      <c r="G262" s="191">
        <f>G263</f>
        <v>2652.4</v>
      </c>
      <c r="H262" s="153">
        <f>H263</f>
        <v>0</v>
      </c>
      <c r="I262" s="88"/>
    </row>
    <row r="263" spans="1:9" s="48" customFormat="1" ht="15.75">
      <c r="A263" s="166" t="s">
        <v>27</v>
      </c>
      <c r="B263" s="190" t="s">
        <v>195</v>
      </c>
      <c r="C263" s="150" t="s">
        <v>205</v>
      </c>
      <c r="D263" s="151" t="s">
        <v>218</v>
      </c>
      <c r="E263" s="150"/>
      <c r="F263" s="151"/>
      <c r="G263" s="191">
        <f>G264</f>
        <v>2652.4</v>
      </c>
      <c r="H263" s="153">
        <f>H264</f>
        <v>0</v>
      </c>
      <c r="I263" s="88"/>
    </row>
    <row r="264" spans="1:9" s="48" customFormat="1" ht="16.5" thickBot="1">
      <c r="A264" s="162" t="s">
        <v>172</v>
      </c>
      <c r="B264" s="190" t="s">
        <v>195</v>
      </c>
      <c r="C264" s="150" t="s">
        <v>205</v>
      </c>
      <c r="D264" s="151" t="s">
        <v>218</v>
      </c>
      <c r="E264" s="150" t="s">
        <v>86</v>
      </c>
      <c r="F264" s="151"/>
      <c r="G264" s="191">
        <f>'Прилож №5'!H339</f>
        <v>2652.4</v>
      </c>
      <c r="H264" s="153">
        <f>'Прилож №5'!I339</f>
        <v>0</v>
      </c>
      <c r="I264" s="88"/>
    </row>
    <row r="265" spans="1:9" s="48" customFormat="1" ht="16.5" thickBot="1">
      <c r="A265" s="168" t="s">
        <v>227</v>
      </c>
      <c r="B265" s="250" t="s">
        <v>192</v>
      </c>
      <c r="C265" s="169" t="s">
        <v>126</v>
      </c>
      <c r="D265" s="170"/>
      <c r="E265" s="169"/>
      <c r="F265" s="194"/>
      <c r="G265" s="184">
        <f>G266+G298+G312+G278+G283+G287</f>
        <v>773949.1</v>
      </c>
      <c r="H265" s="171">
        <f>H266+H298+H312+H278+H283+H287</f>
        <v>15956</v>
      </c>
      <c r="I265" s="88"/>
    </row>
    <row r="266" spans="1:9" s="48" customFormat="1" ht="16.5" thickBot="1">
      <c r="A266" s="168" t="s">
        <v>228</v>
      </c>
      <c r="B266" s="250" t="s">
        <v>192</v>
      </c>
      <c r="C266" s="169" t="s">
        <v>186</v>
      </c>
      <c r="D266" s="170"/>
      <c r="E266" s="169"/>
      <c r="F266" s="170"/>
      <c r="G266" s="184">
        <f>G267+G271+G275</f>
        <v>384519.7</v>
      </c>
      <c r="H266" s="171">
        <f>H267+H271+H275</f>
        <v>2621</v>
      </c>
      <c r="I266" s="88"/>
    </row>
    <row r="267" spans="1:9" s="48" customFormat="1" ht="30">
      <c r="A267" s="196" t="s">
        <v>206</v>
      </c>
      <c r="B267" s="264" t="s">
        <v>192</v>
      </c>
      <c r="C267" s="179" t="s">
        <v>186</v>
      </c>
      <c r="D267" s="180" t="s">
        <v>71</v>
      </c>
      <c r="E267" s="179"/>
      <c r="F267" s="261"/>
      <c r="G267" s="248">
        <f aca="true" t="shared" si="10" ref="G267:H269">G268</f>
        <v>120159.7</v>
      </c>
      <c r="H267" s="210">
        <f t="shared" si="10"/>
        <v>0</v>
      </c>
      <c r="I267" s="88"/>
    </row>
    <row r="268" spans="1:9" s="48" customFormat="1" ht="57.75" customHeight="1">
      <c r="A268" s="196" t="s">
        <v>207</v>
      </c>
      <c r="B268" s="190" t="s">
        <v>192</v>
      </c>
      <c r="C268" s="179" t="s">
        <v>186</v>
      </c>
      <c r="D268" s="180" t="s">
        <v>208</v>
      </c>
      <c r="E268" s="179"/>
      <c r="F268" s="147"/>
      <c r="G268" s="197">
        <f t="shared" si="10"/>
        <v>120159.7</v>
      </c>
      <c r="H268" s="181">
        <f t="shared" si="10"/>
        <v>0</v>
      </c>
      <c r="I268" s="88"/>
    </row>
    <row r="269" spans="1:9" s="48" customFormat="1" ht="33" customHeight="1">
      <c r="A269" s="196" t="s">
        <v>242</v>
      </c>
      <c r="B269" s="264" t="s">
        <v>192</v>
      </c>
      <c r="C269" s="179" t="s">
        <v>186</v>
      </c>
      <c r="D269" s="180" t="s">
        <v>243</v>
      </c>
      <c r="E269" s="179"/>
      <c r="F269" s="147"/>
      <c r="G269" s="197">
        <f t="shared" si="10"/>
        <v>120159.7</v>
      </c>
      <c r="H269" s="181">
        <f t="shared" si="10"/>
        <v>0</v>
      </c>
      <c r="I269" s="88"/>
    </row>
    <row r="270" spans="1:9" s="48" customFormat="1" ht="15.75">
      <c r="A270" s="196" t="s">
        <v>209</v>
      </c>
      <c r="B270" s="264" t="s">
        <v>192</v>
      </c>
      <c r="C270" s="179" t="s">
        <v>186</v>
      </c>
      <c r="D270" s="180" t="s">
        <v>243</v>
      </c>
      <c r="E270" s="179" t="s">
        <v>67</v>
      </c>
      <c r="F270" s="147"/>
      <c r="G270" s="197">
        <f>'Прилож №5'!H201+'Прилож №5'!H205</f>
        <v>120159.7</v>
      </c>
      <c r="H270" s="181">
        <f>'Прилож №5'!I201+'Прилож №5'!I205</f>
        <v>0</v>
      </c>
      <c r="I270" s="88"/>
    </row>
    <row r="271" spans="1:9" s="48" customFormat="1" ht="15.75">
      <c r="A271" s="166" t="s">
        <v>41</v>
      </c>
      <c r="B271" s="252" t="s">
        <v>192</v>
      </c>
      <c r="C271" s="179" t="s">
        <v>186</v>
      </c>
      <c r="D271" s="151" t="s">
        <v>42</v>
      </c>
      <c r="E271" s="150"/>
      <c r="F271" s="151"/>
      <c r="G271" s="191">
        <f>G272</f>
        <v>243407</v>
      </c>
      <c r="H271" s="153">
        <f>H272</f>
        <v>2021</v>
      </c>
      <c r="I271" s="88"/>
    </row>
    <row r="272" spans="1:9" s="48" customFormat="1" ht="15.75">
      <c r="A272" s="162" t="s">
        <v>27</v>
      </c>
      <c r="B272" s="252" t="s">
        <v>192</v>
      </c>
      <c r="C272" s="179" t="s">
        <v>186</v>
      </c>
      <c r="D272" s="151" t="s">
        <v>229</v>
      </c>
      <c r="E272" s="150"/>
      <c r="F272" s="151"/>
      <c r="G272" s="191">
        <f>G273+G274</f>
        <v>243407</v>
      </c>
      <c r="H272" s="153">
        <f>H273+H274</f>
        <v>2021</v>
      </c>
      <c r="I272" s="88"/>
    </row>
    <row r="273" spans="1:9" s="48" customFormat="1" ht="15.75">
      <c r="A273" s="162" t="s">
        <v>172</v>
      </c>
      <c r="B273" s="252" t="s">
        <v>192</v>
      </c>
      <c r="C273" s="179" t="s">
        <v>186</v>
      </c>
      <c r="D273" s="151" t="s">
        <v>229</v>
      </c>
      <c r="E273" s="150" t="s">
        <v>86</v>
      </c>
      <c r="F273" s="151"/>
      <c r="G273" s="191">
        <f>'Прилож №5'!H345</f>
        <v>242386</v>
      </c>
      <c r="H273" s="153">
        <f>'Прилож №5'!I345</f>
        <v>1000</v>
      </c>
      <c r="I273" s="88"/>
    </row>
    <row r="274" spans="1:9" s="48" customFormat="1" ht="15.75">
      <c r="A274" s="162" t="s">
        <v>172</v>
      </c>
      <c r="B274" s="252" t="s">
        <v>192</v>
      </c>
      <c r="C274" s="179" t="s">
        <v>186</v>
      </c>
      <c r="D274" s="151" t="s">
        <v>437</v>
      </c>
      <c r="E274" s="150" t="s">
        <v>86</v>
      </c>
      <c r="F274" s="151"/>
      <c r="G274" s="191">
        <f>'Прилож №5'!H346</f>
        <v>1021</v>
      </c>
      <c r="H274" s="153">
        <f>'Прилож №5'!I346</f>
        <v>1021</v>
      </c>
      <c r="I274" s="88"/>
    </row>
    <row r="275" spans="1:9" s="48" customFormat="1" ht="15.75">
      <c r="A275" s="26" t="s">
        <v>332</v>
      </c>
      <c r="B275" s="252" t="s">
        <v>192</v>
      </c>
      <c r="C275" s="179" t="s">
        <v>186</v>
      </c>
      <c r="D275" s="18" t="s">
        <v>333</v>
      </c>
      <c r="E275" s="150"/>
      <c r="F275" s="151"/>
      <c r="G275" s="191">
        <f>G276</f>
        <v>20953</v>
      </c>
      <c r="H275" s="153">
        <f>H276</f>
        <v>600</v>
      </c>
      <c r="I275" s="88"/>
    </row>
    <row r="276" spans="1:9" s="48" customFormat="1" ht="15.75">
      <c r="A276" s="26" t="s">
        <v>27</v>
      </c>
      <c r="B276" s="252" t="s">
        <v>192</v>
      </c>
      <c r="C276" s="179" t="s">
        <v>186</v>
      </c>
      <c r="D276" s="18" t="s">
        <v>334</v>
      </c>
      <c r="E276" s="150"/>
      <c r="F276" s="151"/>
      <c r="G276" s="191">
        <f>G277</f>
        <v>20953</v>
      </c>
      <c r="H276" s="153">
        <f>H277</f>
        <v>600</v>
      </c>
      <c r="I276" s="88"/>
    </row>
    <row r="277" spans="1:9" s="48" customFormat="1" ht="15.75">
      <c r="A277" s="26" t="s">
        <v>172</v>
      </c>
      <c r="B277" s="252" t="s">
        <v>192</v>
      </c>
      <c r="C277" s="179" t="s">
        <v>186</v>
      </c>
      <c r="D277" s="18" t="s">
        <v>334</v>
      </c>
      <c r="E277" s="150" t="s">
        <v>86</v>
      </c>
      <c r="F277" s="151"/>
      <c r="G277" s="191">
        <f>'Прилож №5'!H349</f>
        <v>20953</v>
      </c>
      <c r="H277" s="153">
        <f>'Прилож №5'!I349</f>
        <v>600</v>
      </c>
      <c r="I277" s="88"/>
    </row>
    <row r="278" spans="1:9" s="23" customFormat="1" ht="15.75">
      <c r="A278" s="115" t="s">
        <v>335</v>
      </c>
      <c r="B278" s="254" t="s">
        <v>192</v>
      </c>
      <c r="C278" s="202" t="s">
        <v>187</v>
      </c>
      <c r="D278" s="105"/>
      <c r="E278" s="156"/>
      <c r="F278" s="157"/>
      <c r="G278" s="189">
        <f>G279</f>
        <v>274506.7</v>
      </c>
      <c r="H278" s="159">
        <f>H279</f>
        <v>10932</v>
      </c>
      <c r="I278" s="118"/>
    </row>
    <row r="279" spans="1:9" s="48" customFormat="1" ht="15.75">
      <c r="A279" s="26" t="s">
        <v>336</v>
      </c>
      <c r="B279" s="252" t="s">
        <v>192</v>
      </c>
      <c r="C279" s="179" t="s">
        <v>187</v>
      </c>
      <c r="D279" s="18" t="s">
        <v>337</v>
      </c>
      <c r="E279" s="150"/>
      <c r="F279" s="151"/>
      <c r="G279" s="191">
        <f>G280</f>
        <v>274506.7</v>
      </c>
      <c r="H279" s="153">
        <f>H280</f>
        <v>10932</v>
      </c>
      <c r="I279" s="88"/>
    </row>
    <row r="280" spans="1:9" s="48" customFormat="1" ht="15.75">
      <c r="A280" s="26" t="s">
        <v>27</v>
      </c>
      <c r="B280" s="252" t="s">
        <v>192</v>
      </c>
      <c r="C280" s="179" t="s">
        <v>187</v>
      </c>
      <c r="D280" s="18" t="s">
        <v>338</v>
      </c>
      <c r="E280" s="150"/>
      <c r="F280" s="151"/>
      <c r="G280" s="191">
        <f>G281+G282</f>
        <v>274506.7</v>
      </c>
      <c r="H280" s="153">
        <f>H281+H282</f>
        <v>10932</v>
      </c>
      <c r="I280" s="88"/>
    </row>
    <row r="281" spans="1:9" s="48" customFormat="1" ht="15.75">
      <c r="A281" s="26" t="s">
        <v>172</v>
      </c>
      <c r="B281" s="252" t="s">
        <v>192</v>
      </c>
      <c r="C281" s="179" t="s">
        <v>187</v>
      </c>
      <c r="D281" s="18" t="s">
        <v>338</v>
      </c>
      <c r="E281" s="150" t="s">
        <v>86</v>
      </c>
      <c r="F281" s="151"/>
      <c r="G281" s="191">
        <f>'Прилож №5'!H353</f>
        <v>265774.7</v>
      </c>
      <c r="H281" s="153">
        <f>'Прилож №5'!I353</f>
        <v>2200</v>
      </c>
      <c r="I281" s="88"/>
    </row>
    <row r="282" spans="1:9" s="48" customFormat="1" ht="15.75">
      <c r="A282" s="26" t="s">
        <v>172</v>
      </c>
      <c r="B282" s="252" t="s">
        <v>192</v>
      </c>
      <c r="C282" s="179" t="s">
        <v>187</v>
      </c>
      <c r="D282" s="18" t="s">
        <v>436</v>
      </c>
      <c r="E282" s="150" t="s">
        <v>86</v>
      </c>
      <c r="F282" s="151"/>
      <c r="G282" s="191">
        <f>'Прилож №5'!H354</f>
        <v>8732</v>
      </c>
      <c r="H282" s="153">
        <f>'Прилож №5'!I354</f>
        <v>8732</v>
      </c>
      <c r="I282" s="88"/>
    </row>
    <row r="283" spans="1:9" s="23" customFormat="1" ht="15.75">
      <c r="A283" s="115" t="s">
        <v>339</v>
      </c>
      <c r="B283" s="254" t="s">
        <v>192</v>
      </c>
      <c r="C283" s="202" t="s">
        <v>191</v>
      </c>
      <c r="D283" s="105"/>
      <c r="E283" s="156"/>
      <c r="F283" s="157"/>
      <c r="G283" s="189">
        <f aca="true" t="shared" si="11" ref="G283:H285">G284</f>
        <v>3895.8</v>
      </c>
      <c r="H283" s="159">
        <f t="shared" si="11"/>
        <v>0</v>
      </c>
      <c r="I283" s="118"/>
    </row>
    <row r="284" spans="1:9" s="48" customFormat="1" ht="15.75">
      <c r="A284" s="25" t="s">
        <v>41</v>
      </c>
      <c r="B284" s="252" t="s">
        <v>192</v>
      </c>
      <c r="C284" s="179" t="s">
        <v>191</v>
      </c>
      <c r="D284" s="18" t="s">
        <v>42</v>
      </c>
      <c r="E284" s="150"/>
      <c r="F284" s="151"/>
      <c r="G284" s="191">
        <f t="shared" si="11"/>
        <v>3895.8</v>
      </c>
      <c r="H284" s="153">
        <f t="shared" si="11"/>
        <v>0</v>
      </c>
      <c r="I284" s="88"/>
    </row>
    <row r="285" spans="1:9" s="48" customFormat="1" ht="15.75">
      <c r="A285" s="26" t="s">
        <v>27</v>
      </c>
      <c r="B285" s="252" t="s">
        <v>192</v>
      </c>
      <c r="C285" s="179" t="s">
        <v>191</v>
      </c>
      <c r="D285" s="18" t="s">
        <v>229</v>
      </c>
      <c r="E285" s="150"/>
      <c r="F285" s="151"/>
      <c r="G285" s="191">
        <f t="shared" si="11"/>
        <v>3895.8</v>
      </c>
      <c r="H285" s="153">
        <f t="shared" si="11"/>
        <v>0</v>
      </c>
      <c r="I285" s="88"/>
    </row>
    <row r="286" spans="1:9" s="48" customFormat="1" ht="15.75">
      <c r="A286" s="26" t="s">
        <v>172</v>
      </c>
      <c r="B286" s="252" t="s">
        <v>192</v>
      </c>
      <c r="C286" s="179" t="s">
        <v>191</v>
      </c>
      <c r="D286" s="18" t="s">
        <v>229</v>
      </c>
      <c r="E286" s="150" t="s">
        <v>86</v>
      </c>
      <c r="F286" s="151"/>
      <c r="G286" s="191">
        <f>'Прилож №5'!H358</f>
        <v>3895.8</v>
      </c>
      <c r="H286" s="153">
        <f>'Прилож №5'!I358</f>
        <v>0</v>
      </c>
      <c r="I286" s="88"/>
    </row>
    <row r="287" spans="1:9" s="23" customFormat="1" ht="15.75">
      <c r="A287" s="115" t="s">
        <v>340</v>
      </c>
      <c r="B287" s="254" t="s">
        <v>192</v>
      </c>
      <c r="C287" s="202" t="s">
        <v>188</v>
      </c>
      <c r="D287" s="105"/>
      <c r="E287" s="156"/>
      <c r="F287" s="157"/>
      <c r="G287" s="189">
        <f>G292+G295+G288</f>
        <v>32392.6</v>
      </c>
      <c r="H287" s="159">
        <f>H292+H295+H288</f>
        <v>2403</v>
      </c>
      <c r="I287" s="118"/>
    </row>
    <row r="288" spans="1:9" s="23" customFormat="1" ht="30">
      <c r="A288" s="367" t="s">
        <v>206</v>
      </c>
      <c r="B288" s="258" t="s">
        <v>192</v>
      </c>
      <c r="C288" s="179" t="s">
        <v>186</v>
      </c>
      <c r="D288" s="180" t="s">
        <v>71</v>
      </c>
      <c r="E288" s="179"/>
      <c r="F288" s="157"/>
      <c r="G288" s="189">
        <f aca="true" t="shared" si="12" ref="G288:H290">G289</f>
        <v>1000</v>
      </c>
      <c r="H288" s="159">
        <f t="shared" si="12"/>
        <v>0</v>
      </c>
      <c r="I288" s="118"/>
    </row>
    <row r="289" spans="1:9" s="23" customFormat="1" ht="60">
      <c r="A289" s="196" t="s">
        <v>207</v>
      </c>
      <c r="B289" s="190" t="s">
        <v>192</v>
      </c>
      <c r="C289" s="179" t="s">
        <v>186</v>
      </c>
      <c r="D289" s="180" t="s">
        <v>208</v>
      </c>
      <c r="E289" s="179"/>
      <c r="F289" s="157"/>
      <c r="G289" s="189">
        <f t="shared" si="12"/>
        <v>1000</v>
      </c>
      <c r="H289" s="159">
        <f t="shared" si="12"/>
        <v>0</v>
      </c>
      <c r="I289" s="118"/>
    </row>
    <row r="290" spans="1:9" s="23" customFormat="1" ht="30">
      <c r="A290" s="196" t="s">
        <v>242</v>
      </c>
      <c r="B290" s="264" t="s">
        <v>192</v>
      </c>
      <c r="C290" s="179" t="s">
        <v>186</v>
      </c>
      <c r="D290" s="180" t="s">
        <v>243</v>
      </c>
      <c r="E290" s="179"/>
      <c r="F290" s="157"/>
      <c r="G290" s="189">
        <f t="shared" si="12"/>
        <v>1000</v>
      </c>
      <c r="H290" s="159">
        <f t="shared" si="12"/>
        <v>0</v>
      </c>
      <c r="I290" s="118"/>
    </row>
    <row r="291" spans="1:9" s="23" customFormat="1" ht="15.75">
      <c r="A291" s="196" t="s">
        <v>209</v>
      </c>
      <c r="B291" s="264" t="s">
        <v>192</v>
      </c>
      <c r="C291" s="179" t="s">
        <v>186</v>
      </c>
      <c r="D291" s="180" t="s">
        <v>243</v>
      </c>
      <c r="E291" s="179" t="s">
        <v>67</v>
      </c>
      <c r="F291" s="157"/>
      <c r="G291" s="189">
        <f>'Прилож №5'!H210</f>
        <v>1000</v>
      </c>
      <c r="H291" s="159">
        <f>'Прилож №5'!I210</f>
        <v>0</v>
      </c>
      <c r="I291" s="118"/>
    </row>
    <row r="292" spans="1:9" s="48" customFormat="1" ht="15.75">
      <c r="A292" s="26" t="s">
        <v>341</v>
      </c>
      <c r="B292" s="252" t="s">
        <v>192</v>
      </c>
      <c r="C292" s="179" t="s">
        <v>188</v>
      </c>
      <c r="D292" s="18" t="s">
        <v>342</v>
      </c>
      <c r="E292" s="150"/>
      <c r="F292" s="151"/>
      <c r="G292" s="191">
        <f>G293</f>
        <v>28420.399999999998</v>
      </c>
      <c r="H292" s="153">
        <f>H293</f>
        <v>0</v>
      </c>
      <c r="I292" s="88"/>
    </row>
    <row r="293" spans="1:9" s="48" customFormat="1" ht="15.75">
      <c r="A293" s="26" t="s">
        <v>27</v>
      </c>
      <c r="B293" s="252" t="s">
        <v>192</v>
      </c>
      <c r="C293" s="179" t="s">
        <v>188</v>
      </c>
      <c r="D293" s="18" t="s">
        <v>343</v>
      </c>
      <c r="E293" s="150"/>
      <c r="F293" s="151"/>
      <c r="G293" s="191">
        <f>G294</f>
        <v>28420.399999999998</v>
      </c>
      <c r="H293" s="153">
        <f>H294</f>
        <v>0</v>
      </c>
      <c r="I293" s="88"/>
    </row>
    <row r="294" spans="1:9" s="48" customFormat="1" ht="15.75">
      <c r="A294" s="26" t="s">
        <v>172</v>
      </c>
      <c r="B294" s="252" t="s">
        <v>192</v>
      </c>
      <c r="C294" s="179" t="s">
        <v>188</v>
      </c>
      <c r="D294" s="18" t="s">
        <v>343</v>
      </c>
      <c r="E294" s="150" t="s">
        <v>86</v>
      </c>
      <c r="F294" s="151"/>
      <c r="G294" s="191">
        <f>'Прилож №5'!H362</f>
        <v>28420.399999999998</v>
      </c>
      <c r="H294" s="153"/>
      <c r="I294" s="88"/>
    </row>
    <row r="295" spans="1:9" s="48" customFormat="1" ht="15.75">
      <c r="A295" s="26" t="s">
        <v>125</v>
      </c>
      <c r="B295" s="252" t="s">
        <v>192</v>
      </c>
      <c r="C295" s="179" t="s">
        <v>188</v>
      </c>
      <c r="D295" s="18" t="s">
        <v>95</v>
      </c>
      <c r="E295" s="150"/>
      <c r="F295" s="151"/>
      <c r="G295" s="191">
        <f>G296</f>
        <v>2972.2</v>
      </c>
      <c r="H295" s="153">
        <f>H296</f>
        <v>2403</v>
      </c>
      <c r="I295" s="88"/>
    </row>
    <row r="296" spans="1:9" s="48" customFormat="1" ht="39">
      <c r="A296" s="46" t="s">
        <v>344</v>
      </c>
      <c r="B296" s="252" t="s">
        <v>192</v>
      </c>
      <c r="C296" s="179" t="s">
        <v>188</v>
      </c>
      <c r="D296" s="18" t="s">
        <v>280</v>
      </c>
      <c r="E296" s="150"/>
      <c r="F296" s="151"/>
      <c r="G296" s="191">
        <f>G297</f>
        <v>2972.2</v>
      </c>
      <c r="H296" s="153">
        <f>H297</f>
        <v>2403</v>
      </c>
      <c r="I296" s="88"/>
    </row>
    <row r="297" spans="1:9" s="48" customFormat="1" ht="15.75">
      <c r="A297" s="26" t="s">
        <v>172</v>
      </c>
      <c r="B297" s="252" t="s">
        <v>192</v>
      </c>
      <c r="C297" s="179" t="s">
        <v>188</v>
      </c>
      <c r="D297" s="18" t="s">
        <v>280</v>
      </c>
      <c r="E297" s="150" t="s">
        <v>86</v>
      </c>
      <c r="F297" s="151"/>
      <c r="G297" s="191">
        <f>'Прилож №5'!H365</f>
        <v>2972.2</v>
      </c>
      <c r="H297" s="153">
        <f>'Прилож №5'!I365</f>
        <v>2403</v>
      </c>
      <c r="I297" s="88"/>
    </row>
    <row r="298" spans="1:9" s="23" customFormat="1" ht="15.75">
      <c r="A298" s="161" t="s">
        <v>230</v>
      </c>
      <c r="B298" s="254" t="s">
        <v>192</v>
      </c>
      <c r="C298" s="156" t="s">
        <v>195</v>
      </c>
      <c r="D298" s="157"/>
      <c r="E298" s="156"/>
      <c r="F298" s="157"/>
      <c r="G298" s="189">
        <f>G303+G299+G309+G306</f>
        <v>64484.1</v>
      </c>
      <c r="H298" s="159">
        <f>H303+H299+H309</f>
        <v>0</v>
      </c>
      <c r="I298" s="118"/>
    </row>
    <row r="299" spans="1:9" s="48" customFormat="1" ht="30">
      <c r="A299" s="196" t="s">
        <v>206</v>
      </c>
      <c r="B299" s="264" t="s">
        <v>192</v>
      </c>
      <c r="C299" s="179" t="s">
        <v>195</v>
      </c>
      <c r="D299" s="180" t="s">
        <v>71</v>
      </c>
      <c r="E299" s="179"/>
      <c r="F299" s="151"/>
      <c r="G299" s="191">
        <f aca="true" t="shared" si="13" ref="G299:H301">G300</f>
        <v>51000</v>
      </c>
      <c r="H299" s="153">
        <f t="shared" si="13"/>
        <v>0</v>
      </c>
      <c r="I299" s="88"/>
    </row>
    <row r="300" spans="1:9" s="48" customFormat="1" ht="36.75" customHeight="1">
      <c r="A300" s="196" t="s">
        <v>276</v>
      </c>
      <c r="B300" s="264" t="s">
        <v>192</v>
      </c>
      <c r="C300" s="179" t="s">
        <v>195</v>
      </c>
      <c r="D300" s="180" t="s">
        <v>208</v>
      </c>
      <c r="E300" s="179"/>
      <c r="F300" s="151"/>
      <c r="G300" s="191">
        <f t="shared" si="13"/>
        <v>51000</v>
      </c>
      <c r="H300" s="153">
        <f t="shared" si="13"/>
        <v>0</v>
      </c>
      <c r="I300" s="88"/>
    </row>
    <row r="301" spans="1:9" s="48" customFormat="1" ht="32.25" customHeight="1">
      <c r="A301" s="196" t="s">
        <v>242</v>
      </c>
      <c r="B301" s="264" t="s">
        <v>192</v>
      </c>
      <c r="C301" s="179" t="s">
        <v>195</v>
      </c>
      <c r="D301" s="180" t="s">
        <v>243</v>
      </c>
      <c r="E301" s="179"/>
      <c r="F301" s="151"/>
      <c r="G301" s="191">
        <f t="shared" si="13"/>
        <v>51000</v>
      </c>
      <c r="H301" s="153">
        <f t="shared" si="13"/>
        <v>0</v>
      </c>
      <c r="I301" s="88"/>
    </row>
    <row r="302" spans="1:9" s="48" customFormat="1" ht="15.75">
      <c r="A302" s="196" t="s">
        <v>209</v>
      </c>
      <c r="B302" s="264" t="s">
        <v>192</v>
      </c>
      <c r="C302" s="179" t="s">
        <v>195</v>
      </c>
      <c r="D302" s="180" t="s">
        <v>243</v>
      </c>
      <c r="E302" s="179" t="s">
        <v>67</v>
      </c>
      <c r="F302" s="151"/>
      <c r="G302" s="191">
        <f>'Прилож №5'!H215+'Прилож №5'!H219</f>
        <v>51000</v>
      </c>
      <c r="H302" s="153">
        <f>'Прилож №5'!I215</f>
        <v>0</v>
      </c>
      <c r="I302" s="88"/>
    </row>
    <row r="303" spans="1:9" s="48" customFormat="1" ht="15.75">
      <c r="A303" s="166" t="s">
        <v>78</v>
      </c>
      <c r="B303" s="252" t="s">
        <v>192</v>
      </c>
      <c r="C303" s="150" t="s">
        <v>195</v>
      </c>
      <c r="D303" s="164" t="s">
        <v>79</v>
      </c>
      <c r="E303" s="163"/>
      <c r="F303" s="151"/>
      <c r="G303" s="191">
        <f>G304</f>
        <v>10915</v>
      </c>
      <c r="H303" s="153">
        <f>H304</f>
        <v>0</v>
      </c>
      <c r="I303" s="88"/>
    </row>
    <row r="304" spans="1:9" s="48" customFormat="1" ht="15.75">
      <c r="A304" s="162" t="s">
        <v>27</v>
      </c>
      <c r="B304" s="252" t="s">
        <v>192</v>
      </c>
      <c r="C304" s="150" t="s">
        <v>195</v>
      </c>
      <c r="D304" s="164" t="s">
        <v>231</v>
      </c>
      <c r="E304" s="163"/>
      <c r="F304" s="151"/>
      <c r="G304" s="191">
        <f>G305</f>
        <v>10915</v>
      </c>
      <c r="H304" s="153">
        <f>H305</f>
        <v>0</v>
      </c>
      <c r="I304" s="88"/>
    </row>
    <row r="305" spans="1:9" s="48" customFormat="1" ht="15.75">
      <c r="A305" s="162" t="s">
        <v>172</v>
      </c>
      <c r="B305" s="252" t="s">
        <v>192</v>
      </c>
      <c r="C305" s="150" t="s">
        <v>195</v>
      </c>
      <c r="D305" s="164" t="s">
        <v>231</v>
      </c>
      <c r="E305" s="163" t="s">
        <v>86</v>
      </c>
      <c r="F305" s="151"/>
      <c r="G305" s="191">
        <f>'Прилож №5'!H427</f>
        <v>10915</v>
      </c>
      <c r="H305" s="153">
        <f>'Прилож №5'!I427</f>
        <v>0</v>
      </c>
      <c r="I305" s="88"/>
    </row>
    <row r="306" spans="1:9" s="48" customFormat="1" ht="15.75">
      <c r="A306" s="332" t="s">
        <v>431</v>
      </c>
      <c r="B306" s="333" t="s">
        <v>192</v>
      </c>
      <c r="C306" s="334" t="s">
        <v>195</v>
      </c>
      <c r="D306" s="335" t="s">
        <v>432</v>
      </c>
      <c r="E306" s="336"/>
      <c r="F306" s="337"/>
      <c r="G306" s="338">
        <f>G307</f>
        <v>535.2</v>
      </c>
      <c r="H306" s="339"/>
      <c r="I306" s="88"/>
    </row>
    <row r="307" spans="1:9" s="48" customFormat="1" ht="15.75">
      <c r="A307" s="332" t="s">
        <v>433</v>
      </c>
      <c r="B307" s="333" t="s">
        <v>192</v>
      </c>
      <c r="C307" s="334" t="s">
        <v>195</v>
      </c>
      <c r="D307" s="335" t="s">
        <v>434</v>
      </c>
      <c r="E307" s="340"/>
      <c r="F307" s="337"/>
      <c r="G307" s="338">
        <f>G308</f>
        <v>535.2</v>
      </c>
      <c r="H307" s="339"/>
      <c r="I307" s="88"/>
    </row>
    <row r="308" spans="1:9" s="48" customFormat="1" ht="15.75">
      <c r="A308" s="341" t="s">
        <v>172</v>
      </c>
      <c r="B308" s="333" t="s">
        <v>192</v>
      </c>
      <c r="C308" s="334" t="s">
        <v>195</v>
      </c>
      <c r="D308" s="342" t="s">
        <v>434</v>
      </c>
      <c r="E308" s="336" t="s">
        <v>86</v>
      </c>
      <c r="F308" s="337"/>
      <c r="G308" s="338">
        <f>'Прилож №5'!H424</f>
        <v>535.2</v>
      </c>
      <c r="H308" s="339"/>
      <c r="I308" s="88"/>
    </row>
    <row r="309" spans="1:9" s="48" customFormat="1" ht="15.75">
      <c r="A309" s="166" t="s">
        <v>131</v>
      </c>
      <c r="B309" s="252" t="s">
        <v>192</v>
      </c>
      <c r="C309" s="150" t="s">
        <v>195</v>
      </c>
      <c r="D309" s="164" t="s">
        <v>132</v>
      </c>
      <c r="E309" s="163"/>
      <c r="F309" s="151"/>
      <c r="G309" s="191">
        <f>G310</f>
        <v>2033.9</v>
      </c>
      <c r="H309" s="153"/>
      <c r="I309" s="88"/>
    </row>
    <row r="310" spans="1:9" s="48" customFormat="1" ht="30">
      <c r="A310" s="149" t="s">
        <v>375</v>
      </c>
      <c r="B310" s="252" t="s">
        <v>192</v>
      </c>
      <c r="C310" s="150" t="s">
        <v>195</v>
      </c>
      <c r="D310" s="164" t="s">
        <v>258</v>
      </c>
      <c r="E310" s="163"/>
      <c r="F310" s="151"/>
      <c r="G310" s="191">
        <f>G311</f>
        <v>2033.9</v>
      </c>
      <c r="H310" s="153"/>
      <c r="I310" s="88"/>
    </row>
    <row r="311" spans="1:9" s="48" customFormat="1" ht="15.75">
      <c r="A311" s="154" t="s">
        <v>146</v>
      </c>
      <c r="B311" s="252" t="s">
        <v>192</v>
      </c>
      <c r="C311" s="150" t="s">
        <v>195</v>
      </c>
      <c r="D311" s="164" t="s">
        <v>258</v>
      </c>
      <c r="E311" s="163" t="s">
        <v>278</v>
      </c>
      <c r="F311" s="151"/>
      <c r="G311" s="191">
        <f>'Прилож №5'!H430</f>
        <v>2033.9</v>
      </c>
      <c r="H311" s="153"/>
      <c r="I311" s="88"/>
    </row>
    <row r="312" spans="1:9" s="48" customFormat="1" ht="29.25">
      <c r="A312" s="155" t="s">
        <v>232</v>
      </c>
      <c r="B312" s="252" t="s">
        <v>192</v>
      </c>
      <c r="C312" s="156" t="s">
        <v>193</v>
      </c>
      <c r="D312" s="204"/>
      <c r="E312" s="182"/>
      <c r="F312" s="157"/>
      <c r="G312" s="189">
        <f>G313+G316</f>
        <v>14150.2</v>
      </c>
      <c r="H312" s="159">
        <f aca="true" t="shared" si="14" ref="G312:H314">H313</f>
        <v>0</v>
      </c>
      <c r="I312" s="88"/>
    </row>
    <row r="313" spans="1:9" s="48" customFormat="1" ht="18" customHeight="1">
      <c r="A313" s="149" t="s">
        <v>147</v>
      </c>
      <c r="B313" s="190" t="s">
        <v>192</v>
      </c>
      <c r="C313" s="150" t="s">
        <v>193</v>
      </c>
      <c r="D313" s="151" t="s">
        <v>277</v>
      </c>
      <c r="E313" s="150"/>
      <c r="F313" s="151"/>
      <c r="G313" s="191">
        <f t="shared" si="14"/>
        <v>10462.800000000001</v>
      </c>
      <c r="H313" s="153">
        <f t="shared" si="14"/>
        <v>0</v>
      </c>
      <c r="I313" s="88"/>
    </row>
    <row r="314" spans="1:9" s="48" customFormat="1" ht="15.75">
      <c r="A314" s="154" t="s">
        <v>50</v>
      </c>
      <c r="B314" s="190" t="s">
        <v>192</v>
      </c>
      <c r="C314" s="150" t="s">
        <v>193</v>
      </c>
      <c r="D314" s="151" t="s">
        <v>279</v>
      </c>
      <c r="E314" s="150"/>
      <c r="F314" s="151"/>
      <c r="G314" s="191">
        <f t="shared" si="14"/>
        <v>10462.800000000001</v>
      </c>
      <c r="H314" s="153">
        <f t="shared" si="14"/>
        <v>0</v>
      </c>
      <c r="I314" s="88"/>
    </row>
    <row r="315" spans="1:9" s="48" customFormat="1" ht="15.75">
      <c r="A315" s="217" t="s">
        <v>146</v>
      </c>
      <c r="B315" s="192" t="s">
        <v>192</v>
      </c>
      <c r="C315" s="163" t="s">
        <v>193</v>
      </c>
      <c r="D315" s="164" t="s">
        <v>279</v>
      </c>
      <c r="E315" s="163" t="s">
        <v>278</v>
      </c>
      <c r="F315" s="164"/>
      <c r="G315" s="218">
        <f>'Прилож №5'!H434</f>
        <v>10462.800000000001</v>
      </c>
      <c r="H315" s="165">
        <f>'Прилож №5'!I434</f>
        <v>0</v>
      </c>
      <c r="I315" s="88"/>
    </row>
    <row r="316" spans="1:9" s="48" customFormat="1" ht="15.75">
      <c r="A316" s="25" t="s">
        <v>131</v>
      </c>
      <c r="B316" s="192" t="s">
        <v>192</v>
      </c>
      <c r="C316" s="163" t="s">
        <v>193</v>
      </c>
      <c r="D316" s="18" t="s">
        <v>132</v>
      </c>
      <c r="E316" s="273"/>
      <c r="F316" s="273"/>
      <c r="G316" s="185">
        <f>G319+G317+G321</f>
        <v>3687.3999999999996</v>
      </c>
      <c r="H316" s="153"/>
      <c r="I316" s="88"/>
    </row>
    <row r="317" spans="1:9" s="48" customFormat="1" ht="39">
      <c r="A317" s="47" t="s">
        <v>365</v>
      </c>
      <c r="B317" s="192" t="s">
        <v>192</v>
      </c>
      <c r="C317" s="163" t="s">
        <v>193</v>
      </c>
      <c r="D317" s="18" t="s">
        <v>366</v>
      </c>
      <c r="E317" s="152"/>
      <c r="F317" s="283"/>
      <c r="G317" s="185">
        <f>G318</f>
        <v>1544.5</v>
      </c>
      <c r="H317" s="153"/>
      <c r="I317" s="88"/>
    </row>
    <row r="318" spans="1:9" s="48" customFormat="1" ht="15.75">
      <c r="A318" s="33" t="s">
        <v>146</v>
      </c>
      <c r="B318" s="192" t="s">
        <v>192</v>
      </c>
      <c r="C318" s="163" t="s">
        <v>193</v>
      </c>
      <c r="D318" s="18" t="s">
        <v>366</v>
      </c>
      <c r="E318" s="152" t="s">
        <v>278</v>
      </c>
      <c r="F318" s="283"/>
      <c r="G318" s="185">
        <f>'Прилож №5'!H369</f>
        <v>1544.5</v>
      </c>
      <c r="H318" s="153"/>
      <c r="I318" s="88"/>
    </row>
    <row r="319" spans="1:9" s="48" customFormat="1" ht="39">
      <c r="A319" s="47" t="s">
        <v>359</v>
      </c>
      <c r="B319" s="192" t="s">
        <v>192</v>
      </c>
      <c r="C319" s="163" t="s">
        <v>193</v>
      </c>
      <c r="D319" s="18" t="s">
        <v>360</v>
      </c>
      <c r="E319" s="7"/>
      <c r="F319" s="51"/>
      <c r="G319" s="185">
        <f>G320</f>
        <v>2142.8999999999996</v>
      </c>
      <c r="H319" s="153"/>
      <c r="I319" s="88"/>
    </row>
    <row r="320" spans="1:9" s="48" customFormat="1" ht="15" customHeight="1" thickBot="1">
      <c r="A320" s="370" t="s">
        <v>146</v>
      </c>
      <c r="B320" s="273" t="s">
        <v>192</v>
      </c>
      <c r="C320" s="273" t="s">
        <v>193</v>
      </c>
      <c r="D320" s="269" t="s">
        <v>360</v>
      </c>
      <c r="E320" s="269" t="s">
        <v>278</v>
      </c>
      <c r="F320" s="308"/>
      <c r="G320" s="185">
        <f>'Прилож №5'!H371</f>
        <v>2142.8999999999996</v>
      </c>
      <c r="H320" s="153"/>
      <c r="I320" s="88"/>
    </row>
    <row r="321" spans="1:9" s="48" customFormat="1" ht="26.25" hidden="1">
      <c r="A321" s="369" t="s">
        <v>367</v>
      </c>
      <c r="B321" s="192" t="s">
        <v>192</v>
      </c>
      <c r="C321" s="163" t="s">
        <v>193</v>
      </c>
      <c r="D321" s="18" t="s">
        <v>368</v>
      </c>
      <c r="E321" s="7"/>
      <c r="F321" s="308"/>
      <c r="G321" s="185">
        <f>G322</f>
        <v>0</v>
      </c>
      <c r="H321" s="153"/>
      <c r="I321" s="88"/>
    </row>
    <row r="322" spans="1:9" s="48" customFormat="1" ht="16.5" hidden="1" thickBot="1">
      <c r="A322" s="33" t="s">
        <v>146</v>
      </c>
      <c r="B322" s="315" t="s">
        <v>192</v>
      </c>
      <c r="C322" s="315" t="s">
        <v>193</v>
      </c>
      <c r="D322" s="310" t="s">
        <v>368</v>
      </c>
      <c r="E322" s="310" t="s">
        <v>278</v>
      </c>
      <c r="F322" s="311"/>
      <c r="G322" s="218">
        <f>'Прилож №5'!H373</f>
        <v>0</v>
      </c>
      <c r="H322" s="165"/>
      <c r="I322" s="88"/>
    </row>
    <row r="323" spans="1:9" s="48" customFormat="1" ht="16.5" thickBot="1">
      <c r="A323" s="316" t="s">
        <v>5</v>
      </c>
      <c r="B323" s="317" t="s">
        <v>193</v>
      </c>
      <c r="C323" s="317" t="s">
        <v>126</v>
      </c>
      <c r="D323" s="318"/>
      <c r="E323" s="318"/>
      <c r="F323" s="319" t="s">
        <v>278</v>
      </c>
      <c r="G323" s="357">
        <f>G324+G328+G355+G351</f>
        <v>81045.50000000001</v>
      </c>
      <c r="H323" s="171">
        <f>H324+H328+H355+H351</f>
        <v>60281.5</v>
      </c>
      <c r="I323" s="88"/>
    </row>
    <row r="324" spans="1:9" s="48" customFormat="1" ht="15.75">
      <c r="A324" s="160" t="s">
        <v>46</v>
      </c>
      <c r="B324" s="254" t="s">
        <v>193</v>
      </c>
      <c r="C324" s="202" t="s">
        <v>186</v>
      </c>
      <c r="D324" s="313"/>
      <c r="E324" s="314"/>
      <c r="F324" s="147"/>
      <c r="G324" s="212">
        <f aca="true" t="shared" si="15" ref="G324:H326">G325</f>
        <v>750</v>
      </c>
      <c r="H324" s="203">
        <f t="shared" si="15"/>
        <v>0</v>
      </c>
      <c r="I324" s="88"/>
    </row>
    <row r="325" spans="1:9" s="48" customFormat="1" ht="15.75">
      <c r="A325" s="166" t="s">
        <v>233</v>
      </c>
      <c r="B325" s="190" t="s">
        <v>193</v>
      </c>
      <c r="C325" s="150" t="s">
        <v>186</v>
      </c>
      <c r="D325" s="151" t="s">
        <v>234</v>
      </c>
      <c r="E325" s="163"/>
      <c r="F325" s="151"/>
      <c r="G325" s="191">
        <f t="shared" si="15"/>
        <v>750</v>
      </c>
      <c r="H325" s="153">
        <f t="shared" si="15"/>
        <v>0</v>
      </c>
      <c r="I325" s="88"/>
    </row>
    <row r="326" spans="1:9" s="48" customFormat="1" ht="30">
      <c r="A326" s="149" t="s">
        <v>114</v>
      </c>
      <c r="B326" s="190" t="s">
        <v>193</v>
      </c>
      <c r="C326" s="150" t="s">
        <v>186</v>
      </c>
      <c r="D326" s="151" t="s">
        <v>235</v>
      </c>
      <c r="E326" s="163"/>
      <c r="F326" s="151"/>
      <c r="G326" s="191">
        <f t="shared" si="15"/>
        <v>750</v>
      </c>
      <c r="H326" s="153">
        <f t="shared" si="15"/>
        <v>0</v>
      </c>
      <c r="I326" s="88"/>
    </row>
    <row r="327" spans="1:9" s="48" customFormat="1" ht="15.75">
      <c r="A327" s="149" t="s">
        <v>168</v>
      </c>
      <c r="B327" s="190" t="s">
        <v>193</v>
      </c>
      <c r="C327" s="150" t="s">
        <v>186</v>
      </c>
      <c r="D327" s="151" t="s">
        <v>235</v>
      </c>
      <c r="E327" s="163" t="s">
        <v>51</v>
      </c>
      <c r="F327" s="151"/>
      <c r="G327" s="191">
        <f>'Прилож №5'!H224</f>
        <v>750</v>
      </c>
      <c r="H327" s="153">
        <f>'Прилож №5'!I224</f>
        <v>0</v>
      </c>
      <c r="I327" s="88"/>
    </row>
    <row r="328" spans="1:9" s="48" customFormat="1" ht="15.75">
      <c r="A328" s="161" t="s">
        <v>96</v>
      </c>
      <c r="B328" s="188" t="s">
        <v>193</v>
      </c>
      <c r="C328" s="156" t="s">
        <v>191</v>
      </c>
      <c r="D328" s="157"/>
      <c r="E328" s="156"/>
      <c r="F328" s="213"/>
      <c r="G328" s="189">
        <f>G332+G346+G329+G342</f>
        <v>68210.20000000001</v>
      </c>
      <c r="H328" s="159">
        <f>H332+H346</f>
        <v>52375</v>
      </c>
      <c r="I328" s="88"/>
    </row>
    <row r="329" spans="1:9" s="48" customFormat="1" ht="15.75">
      <c r="A329" s="149" t="s">
        <v>404</v>
      </c>
      <c r="B329" s="190" t="s">
        <v>193</v>
      </c>
      <c r="C329" s="150" t="s">
        <v>191</v>
      </c>
      <c r="D329" s="151" t="s">
        <v>405</v>
      </c>
      <c r="E329" s="150"/>
      <c r="F329" s="213"/>
      <c r="G329" s="191">
        <f>G330</f>
        <v>2255.6</v>
      </c>
      <c r="H329" s="159"/>
      <c r="I329" s="88"/>
    </row>
    <row r="330" spans="1:9" s="48" customFormat="1" ht="15.75">
      <c r="A330" s="166" t="s">
        <v>406</v>
      </c>
      <c r="B330" s="190" t="s">
        <v>193</v>
      </c>
      <c r="C330" s="150" t="s">
        <v>191</v>
      </c>
      <c r="D330" s="151" t="s">
        <v>407</v>
      </c>
      <c r="E330" s="150"/>
      <c r="F330" s="213"/>
      <c r="G330" s="191">
        <f>G331</f>
        <v>2255.6</v>
      </c>
      <c r="H330" s="159"/>
      <c r="I330" s="88"/>
    </row>
    <row r="331" spans="1:9" s="48" customFormat="1" ht="15.75">
      <c r="A331" s="166" t="s">
        <v>408</v>
      </c>
      <c r="B331" s="190" t="s">
        <v>193</v>
      </c>
      <c r="C331" s="150" t="s">
        <v>191</v>
      </c>
      <c r="D331" s="151" t="s">
        <v>407</v>
      </c>
      <c r="E331" s="150" t="s">
        <v>409</v>
      </c>
      <c r="F331" s="213"/>
      <c r="G331" s="191">
        <f>'Прилож №5'!H228</f>
        <v>2255.6</v>
      </c>
      <c r="H331" s="159"/>
      <c r="I331" s="88"/>
    </row>
    <row r="332" spans="1:9" s="48" customFormat="1" ht="15.75">
      <c r="A332" s="166" t="s">
        <v>236</v>
      </c>
      <c r="B332" s="190" t="s">
        <v>193</v>
      </c>
      <c r="C332" s="150" t="s">
        <v>191</v>
      </c>
      <c r="D332" s="151" t="s">
        <v>90</v>
      </c>
      <c r="E332" s="150"/>
      <c r="F332" s="214"/>
      <c r="G332" s="191">
        <f>G333+G336+G340+G338</f>
        <v>63033.3</v>
      </c>
      <c r="H332" s="153">
        <f>H333+H336+H340</f>
        <v>52375</v>
      </c>
      <c r="I332" s="88"/>
    </row>
    <row r="333" spans="1:9" s="48" customFormat="1" ht="15.75">
      <c r="A333" s="166" t="s">
        <v>237</v>
      </c>
      <c r="B333" s="190" t="s">
        <v>193</v>
      </c>
      <c r="C333" s="150" t="s">
        <v>191</v>
      </c>
      <c r="D333" s="151" t="s">
        <v>238</v>
      </c>
      <c r="E333" s="150"/>
      <c r="F333" s="214">
        <v>483</v>
      </c>
      <c r="G333" s="191">
        <f>G334</f>
        <v>2450</v>
      </c>
      <c r="H333" s="153">
        <f>H334</f>
        <v>0</v>
      </c>
      <c r="I333" s="88"/>
    </row>
    <row r="334" spans="1:9" s="48" customFormat="1" ht="30">
      <c r="A334" s="149" t="s">
        <v>239</v>
      </c>
      <c r="B334" s="190" t="s">
        <v>193</v>
      </c>
      <c r="C334" s="150" t="s">
        <v>191</v>
      </c>
      <c r="D334" s="151" t="s">
        <v>240</v>
      </c>
      <c r="E334" s="150"/>
      <c r="F334" s="214"/>
      <c r="G334" s="191">
        <f>G335</f>
        <v>2450</v>
      </c>
      <c r="H334" s="153">
        <f>H335</f>
        <v>0</v>
      </c>
      <c r="I334" s="88"/>
    </row>
    <row r="335" spans="1:9" s="48" customFormat="1" ht="15.75">
      <c r="A335" s="166" t="s">
        <v>168</v>
      </c>
      <c r="B335" s="190" t="s">
        <v>193</v>
      </c>
      <c r="C335" s="150" t="s">
        <v>191</v>
      </c>
      <c r="D335" s="151" t="s">
        <v>240</v>
      </c>
      <c r="E335" s="150" t="s">
        <v>51</v>
      </c>
      <c r="F335" s="214"/>
      <c r="G335" s="191">
        <f>'Прилож №5'!H236</f>
        <v>2450</v>
      </c>
      <c r="H335" s="153">
        <f>'Прилож №5'!I236</f>
        <v>0</v>
      </c>
      <c r="I335" s="88"/>
    </row>
    <row r="336" spans="1:9" s="48" customFormat="1" ht="30">
      <c r="A336" s="149" t="s">
        <v>144</v>
      </c>
      <c r="B336" s="190" t="s">
        <v>193</v>
      </c>
      <c r="C336" s="150" t="s">
        <v>191</v>
      </c>
      <c r="D336" s="151" t="s">
        <v>241</v>
      </c>
      <c r="E336" s="150"/>
      <c r="F336" s="214"/>
      <c r="G336" s="191">
        <f>G337</f>
        <v>50507.3</v>
      </c>
      <c r="H336" s="153">
        <f>H337</f>
        <v>47203</v>
      </c>
      <c r="I336" s="88"/>
    </row>
    <row r="337" spans="1:9" s="48" customFormat="1" ht="13.5" customHeight="1">
      <c r="A337" s="149" t="s">
        <v>168</v>
      </c>
      <c r="B337" s="190" t="s">
        <v>193</v>
      </c>
      <c r="C337" s="150" t="s">
        <v>191</v>
      </c>
      <c r="D337" s="151" t="s">
        <v>241</v>
      </c>
      <c r="E337" s="150" t="s">
        <v>51</v>
      </c>
      <c r="F337" s="214">
        <v>572</v>
      </c>
      <c r="G337" s="191">
        <f>'Прилож №5'!H238</f>
        <v>50507.3</v>
      </c>
      <c r="H337" s="153">
        <f>'Прилож №5'!I238</f>
        <v>47203</v>
      </c>
      <c r="I337" s="88"/>
    </row>
    <row r="338" spans="1:9" s="48" customFormat="1" ht="60" customHeight="1">
      <c r="A338" s="47" t="s">
        <v>424</v>
      </c>
      <c r="B338" s="190" t="s">
        <v>193</v>
      </c>
      <c r="C338" s="150" t="s">
        <v>191</v>
      </c>
      <c r="D338" s="151" t="s">
        <v>425</v>
      </c>
      <c r="E338" s="179"/>
      <c r="F338" s="215"/>
      <c r="G338" s="197">
        <f>G339</f>
        <v>4904</v>
      </c>
      <c r="H338" s="181"/>
      <c r="I338" s="88"/>
    </row>
    <row r="339" spans="1:9" s="48" customFormat="1" ht="13.5" customHeight="1">
      <c r="A339" s="25" t="s">
        <v>260</v>
      </c>
      <c r="B339" s="190" t="s">
        <v>193</v>
      </c>
      <c r="C339" s="150" t="s">
        <v>191</v>
      </c>
      <c r="D339" s="151" t="s">
        <v>425</v>
      </c>
      <c r="E339" s="179" t="s">
        <v>51</v>
      </c>
      <c r="F339" s="215"/>
      <c r="G339" s="197">
        <f>'Прилож №5'!H457</f>
        <v>4904</v>
      </c>
      <c r="H339" s="181"/>
      <c r="I339" s="88"/>
    </row>
    <row r="340" spans="1:9" s="48" customFormat="1" ht="45" customHeight="1">
      <c r="A340" s="196" t="s">
        <v>244</v>
      </c>
      <c r="B340" s="190" t="s">
        <v>193</v>
      </c>
      <c r="C340" s="179" t="s">
        <v>191</v>
      </c>
      <c r="D340" s="151" t="s">
        <v>245</v>
      </c>
      <c r="E340" s="179"/>
      <c r="F340" s="215"/>
      <c r="G340" s="197">
        <f>G341</f>
        <v>5172</v>
      </c>
      <c r="H340" s="181">
        <f>H341</f>
        <v>5172</v>
      </c>
      <c r="I340" s="88"/>
    </row>
    <row r="341" spans="1:9" s="48" customFormat="1" ht="13.5" customHeight="1">
      <c r="A341" s="196" t="s">
        <v>168</v>
      </c>
      <c r="B341" s="190" t="s">
        <v>193</v>
      </c>
      <c r="C341" s="179" t="s">
        <v>191</v>
      </c>
      <c r="D341" s="151" t="s">
        <v>245</v>
      </c>
      <c r="E341" s="179" t="s">
        <v>51</v>
      </c>
      <c r="F341" s="215"/>
      <c r="G341" s="197">
        <f>'Прилож №5'!H459</f>
        <v>5172</v>
      </c>
      <c r="H341" s="181">
        <f>'Прилож №5'!I459</f>
        <v>5172</v>
      </c>
      <c r="I341" s="88"/>
    </row>
    <row r="342" spans="1:9" s="48" customFormat="1" ht="13.5" customHeight="1">
      <c r="A342" s="196" t="s">
        <v>410</v>
      </c>
      <c r="B342" s="190" t="s">
        <v>193</v>
      </c>
      <c r="C342" s="179" t="s">
        <v>191</v>
      </c>
      <c r="D342" s="180" t="s">
        <v>411</v>
      </c>
      <c r="E342" s="179"/>
      <c r="F342" s="215"/>
      <c r="G342" s="197">
        <f>G343</f>
        <v>1213.5</v>
      </c>
      <c r="H342" s="181"/>
      <c r="I342" s="88"/>
    </row>
    <row r="343" spans="1:9" s="48" customFormat="1" ht="13.5" customHeight="1">
      <c r="A343" s="196" t="s">
        <v>412</v>
      </c>
      <c r="B343" s="190" t="s">
        <v>193</v>
      </c>
      <c r="C343" s="179" t="s">
        <v>191</v>
      </c>
      <c r="D343" s="180" t="s">
        <v>413</v>
      </c>
      <c r="E343" s="179"/>
      <c r="F343" s="215"/>
      <c r="G343" s="197">
        <f>G344</f>
        <v>1213.5</v>
      </c>
      <c r="H343" s="181"/>
      <c r="I343" s="88"/>
    </row>
    <row r="344" spans="1:9" s="48" customFormat="1" ht="13.5" customHeight="1">
      <c r="A344" s="196" t="s">
        <v>406</v>
      </c>
      <c r="B344" s="190" t="s">
        <v>193</v>
      </c>
      <c r="C344" s="179" t="s">
        <v>191</v>
      </c>
      <c r="D344" s="180" t="s">
        <v>414</v>
      </c>
      <c r="E344" s="179"/>
      <c r="F344" s="215"/>
      <c r="G344" s="197">
        <f>G345</f>
        <v>1213.5</v>
      </c>
      <c r="H344" s="181"/>
      <c r="I344" s="88"/>
    </row>
    <row r="345" spans="1:9" s="48" customFormat="1" ht="13.5" customHeight="1">
      <c r="A345" s="196" t="s">
        <v>408</v>
      </c>
      <c r="B345" s="190" t="s">
        <v>193</v>
      </c>
      <c r="C345" s="179" t="s">
        <v>191</v>
      </c>
      <c r="D345" s="180" t="s">
        <v>414</v>
      </c>
      <c r="E345" s="179" t="s">
        <v>409</v>
      </c>
      <c r="F345" s="215"/>
      <c r="G345" s="197">
        <f>'Прилож №5'!H232</f>
        <v>1213.5</v>
      </c>
      <c r="H345" s="181"/>
      <c r="I345" s="88"/>
    </row>
    <row r="346" spans="1:9" s="48" customFormat="1" ht="15" customHeight="1">
      <c r="A346" s="166" t="s">
        <v>131</v>
      </c>
      <c r="B346" s="190" t="s">
        <v>193</v>
      </c>
      <c r="C346" s="179" t="s">
        <v>191</v>
      </c>
      <c r="D346" s="180" t="s">
        <v>132</v>
      </c>
      <c r="E346" s="179"/>
      <c r="F346" s="215"/>
      <c r="G346" s="197">
        <f>G347+G349</f>
        <v>1707.8</v>
      </c>
      <c r="H346" s="153">
        <f>H347</f>
        <v>0</v>
      </c>
      <c r="I346" s="88"/>
    </row>
    <row r="347" spans="1:9" s="48" customFormat="1" ht="27" customHeight="1">
      <c r="A347" s="149" t="s">
        <v>382</v>
      </c>
      <c r="B347" s="190" t="s">
        <v>193</v>
      </c>
      <c r="C347" s="179" t="s">
        <v>191</v>
      </c>
      <c r="D347" s="180" t="s">
        <v>248</v>
      </c>
      <c r="E347" s="179"/>
      <c r="F347" s="215"/>
      <c r="G347" s="197">
        <f>G348</f>
        <v>1324</v>
      </c>
      <c r="H347" s="153">
        <f>H348</f>
        <v>0</v>
      </c>
      <c r="I347" s="88"/>
    </row>
    <row r="348" spans="1:9" s="48" customFormat="1" ht="15" customHeight="1">
      <c r="A348" s="154" t="s">
        <v>146</v>
      </c>
      <c r="B348" s="190" t="s">
        <v>193</v>
      </c>
      <c r="C348" s="179" t="s">
        <v>191</v>
      </c>
      <c r="D348" s="180" t="s">
        <v>248</v>
      </c>
      <c r="E348" s="179" t="s">
        <v>278</v>
      </c>
      <c r="F348" s="215"/>
      <c r="G348" s="197">
        <f>'Прилож №5'!H241</f>
        <v>1324</v>
      </c>
      <c r="H348" s="153">
        <f>'Прилож №5'!I241</f>
        <v>0</v>
      </c>
      <c r="I348" s="88"/>
    </row>
    <row r="349" spans="1:9" s="48" customFormat="1" ht="31.5" customHeight="1">
      <c r="A349" s="149" t="s">
        <v>362</v>
      </c>
      <c r="B349" s="190" t="s">
        <v>193</v>
      </c>
      <c r="C349" s="179" t="s">
        <v>191</v>
      </c>
      <c r="D349" s="180" t="s">
        <v>299</v>
      </c>
      <c r="E349" s="179"/>
      <c r="F349" s="215"/>
      <c r="G349" s="259">
        <f>G350</f>
        <v>383.8</v>
      </c>
      <c r="H349" s="153"/>
      <c r="I349" s="88"/>
    </row>
    <row r="350" spans="1:9" s="48" customFormat="1" ht="15" customHeight="1">
      <c r="A350" s="154" t="s">
        <v>146</v>
      </c>
      <c r="B350" s="190" t="s">
        <v>193</v>
      </c>
      <c r="C350" s="179" t="s">
        <v>191</v>
      </c>
      <c r="D350" s="180" t="s">
        <v>299</v>
      </c>
      <c r="E350" s="179" t="s">
        <v>278</v>
      </c>
      <c r="F350" s="215"/>
      <c r="G350" s="259">
        <f>'Прилож №5'!H243</f>
        <v>383.8</v>
      </c>
      <c r="H350" s="153"/>
      <c r="I350" s="88"/>
    </row>
    <row r="351" spans="1:9" s="48" customFormat="1" ht="15" customHeight="1">
      <c r="A351" s="370" t="s">
        <v>331</v>
      </c>
      <c r="B351" s="190" t="s">
        <v>193</v>
      </c>
      <c r="C351" s="179" t="s">
        <v>188</v>
      </c>
      <c r="D351" s="180"/>
      <c r="E351" s="179"/>
      <c r="F351" s="215"/>
      <c r="G351" s="185">
        <f aca="true" t="shared" si="16" ref="G351:H353">G352</f>
        <v>8455.3</v>
      </c>
      <c r="H351" s="153">
        <f t="shared" si="16"/>
        <v>7906.5</v>
      </c>
      <c r="I351" s="88"/>
    </row>
    <row r="352" spans="1:9" s="48" customFormat="1" ht="15" customHeight="1">
      <c r="A352" s="27" t="s">
        <v>125</v>
      </c>
      <c r="B352" s="190" t="s">
        <v>193</v>
      </c>
      <c r="C352" s="179" t="s">
        <v>188</v>
      </c>
      <c r="D352" s="180" t="s">
        <v>95</v>
      </c>
      <c r="E352" s="179"/>
      <c r="F352" s="215"/>
      <c r="G352" s="185">
        <f t="shared" si="16"/>
        <v>8455.3</v>
      </c>
      <c r="H352" s="153">
        <f t="shared" si="16"/>
        <v>7906.5</v>
      </c>
      <c r="I352" s="88"/>
    </row>
    <row r="353" spans="1:9" s="48" customFormat="1" ht="60" customHeight="1">
      <c r="A353" s="35" t="s">
        <v>282</v>
      </c>
      <c r="B353" s="190" t="s">
        <v>193</v>
      </c>
      <c r="C353" s="179" t="s">
        <v>188</v>
      </c>
      <c r="D353" s="180" t="s">
        <v>281</v>
      </c>
      <c r="E353" s="179"/>
      <c r="F353" s="215"/>
      <c r="G353" s="185">
        <f t="shared" si="16"/>
        <v>8455.3</v>
      </c>
      <c r="H353" s="153">
        <f t="shared" si="16"/>
        <v>7906.5</v>
      </c>
      <c r="I353" s="88"/>
    </row>
    <row r="354" spans="1:9" s="48" customFormat="1" ht="15" customHeight="1">
      <c r="A354" s="371" t="s">
        <v>168</v>
      </c>
      <c r="B354" s="190" t="s">
        <v>193</v>
      </c>
      <c r="C354" s="179" t="s">
        <v>188</v>
      </c>
      <c r="D354" s="180" t="s">
        <v>281</v>
      </c>
      <c r="E354" s="179" t="s">
        <v>51</v>
      </c>
      <c r="F354" s="215"/>
      <c r="G354" s="185">
        <f>'Прилож №5'!H304</f>
        <v>8455.3</v>
      </c>
      <c r="H354" s="153">
        <f>'Прилож №5'!I304</f>
        <v>7906.5</v>
      </c>
      <c r="I354" s="88"/>
    </row>
    <row r="355" spans="1:9" s="48" customFormat="1" ht="15.75">
      <c r="A355" s="161" t="s">
        <v>130</v>
      </c>
      <c r="B355" s="188" t="s">
        <v>193</v>
      </c>
      <c r="C355" s="156" t="s">
        <v>205</v>
      </c>
      <c r="D355" s="157"/>
      <c r="E355" s="156"/>
      <c r="F355" s="158"/>
      <c r="G355" s="216">
        <f aca="true" t="shared" si="17" ref="G355:H357">G356</f>
        <v>3630</v>
      </c>
      <c r="H355" s="159">
        <f t="shared" si="17"/>
        <v>0</v>
      </c>
      <c r="I355" s="88"/>
    </row>
    <row r="356" spans="1:9" s="48" customFormat="1" ht="15.75">
      <c r="A356" s="166" t="s">
        <v>131</v>
      </c>
      <c r="B356" s="190" t="s">
        <v>193</v>
      </c>
      <c r="C356" s="150" t="s">
        <v>205</v>
      </c>
      <c r="D356" s="151" t="s">
        <v>132</v>
      </c>
      <c r="E356" s="150"/>
      <c r="F356" s="152"/>
      <c r="G356" s="185">
        <f t="shared" si="17"/>
        <v>3630</v>
      </c>
      <c r="H356" s="153">
        <f t="shared" si="17"/>
        <v>0</v>
      </c>
      <c r="I356" s="88"/>
    </row>
    <row r="357" spans="1:9" s="48" customFormat="1" ht="30" customHeight="1">
      <c r="A357" s="149" t="s">
        <v>246</v>
      </c>
      <c r="B357" s="190" t="s">
        <v>193</v>
      </c>
      <c r="C357" s="150" t="s">
        <v>205</v>
      </c>
      <c r="D357" s="151" t="s">
        <v>247</v>
      </c>
      <c r="E357" s="150"/>
      <c r="F357" s="152"/>
      <c r="G357" s="185">
        <f>G358</f>
        <v>3630</v>
      </c>
      <c r="H357" s="153">
        <f t="shared" si="17"/>
        <v>0</v>
      </c>
      <c r="I357" s="88"/>
    </row>
    <row r="358" spans="1:10" s="48" customFormat="1" ht="15.75">
      <c r="A358" s="166" t="s">
        <v>146</v>
      </c>
      <c r="B358" s="192" t="s">
        <v>193</v>
      </c>
      <c r="C358" s="163" t="s">
        <v>205</v>
      </c>
      <c r="D358" s="164" t="s">
        <v>247</v>
      </c>
      <c r="E358" s="163" t="s">
        <v>278</v>
      </c>
      <c r="F358" s="167"/>
      <c r="G358" s="218">
        <f>'Прилож №5'!H247+'Прилож №5'!H378</f>
        <v>3630</v>
      </c>
      <c r="H358" s="165">
        <f>'Прилож №5'!I247</f>
        <v>0</v>
      </c>
      <c r="I358" s="88"/>
      <c r="J358" s="219"/>
    </row>
    <row r="359" spans="1:9" s="48" customFormat="1" ht="16.5" thickBot="1">
      <c r="A359" s="200" t="s">
        <v>74</v>
      </c>
      <c r="B359" s="253"/>
      <c r="C359" s="201"/>
      <c r="D359" s="220"/>
      <c r="E359" s="201"/>
      <c r="F359" s="220"/>
      <c r="G359" s="245">
        <f>G13+G52+G57+G91+G111+G179+G184+G238+G265+G323</f>
        <v>2209243.1</v>
      </c>
      <c r="H359" s="195">
        <f>H13+H52+H57+H91+H111+H179+H184+H238+H265+H323</f>
        <v>341790</v>
      </c>
      <c r="I359" s="88"/>
    </row>
  </sheetData>
  <mergeCells count="2"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6"/>
  <sheetViews>
    <sheetView tabSelected="1" zoomScale="75" zoomScaleNormal="75" workbookViewId="0" topLeftCell="A1">
      <selection activeCell="I3" sqref="I3"/>
    </sheetView>
  </sheetViews>
  <sheetFormatPr defaultColWidth="8.796875" defaultRowHeight="15"/>
  <cols>
    <col min="1" max="1" width="52.39843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54" customWidth="1"/>
    <col min="8" max="8" width="10.09765625" style="2" customWidth="1"/>
    <col min="9" max="9" width="10.19921875" style="2" customWidth="1"/>
  </cols>
  <sheetData>
    <row r="1" ht="15.75">
      <c r="I1" s="91" t="s">
        <v>452</v>
      </c>
    </row>
    <row r="2" ht="15.75">
      <c r="I2" s="91" t="s">
        <v>267</v>
      </c>
    </row>
    <row r="3" ht="15.75">
      <c r="I3" s="91" t="s">
        <v>456</v>
      </c>
    </row>
    <row r="4" spans="8:9" ht="15.75">
      <c r="H4" s="133"/>
      <c r="I4" s="91" t="s">
        <v>453</v>
      </c>
    </row>
    <row r="5" ht="15.75">
      <c r="I5" s="91" t="s">
        <v>268</v>
      </c>
    </row>
    <row r="6" spans="1:9" ht="15.75">
      <c r="A6" s="3"/>
      <c r="B6" s="4"/>
      <c r="C6" s="4"/>
      <c r="D6" s="4"/>
      <c r="E6" s="4"/>
      <c r="F6" s="4"/>
      <c r="I6" s="91" t="s">
        <v>455</v>
      </c>
    </row>
    <row r="7" spans="1:9" ht="22.5" customHeight="1">
      <c r="A7" s="383" t="s">
        <v>345</v>
      </c>
      <c r="B7" s="383"/>
      <c r="C7" s="383"/>
      <c r="D7" s="383"/>
      <c r="E7" s="383"/>
      <c r="F7" s="383"/>
      <c r="G7" s="383"/>
      <c r="H7" s="383"/>
      <c r="I7" s="383"/>
    </row>
    <row r="8" spans="1:9" ht="16.5" thickBot="1">
      <c r="A8" s="2"/>
      <c r="B8" s="4"/>
      <c r="C8" s="4"/>
      <c r="D8" s="4"/>
      <c r="E8" s="4"/>
      <c r="F8" s="4"/>
      <c r="I8" s="136" t="s">
        <v>269</v>
      </c>
    </row>
    <row r="9" spans="1:9" ht="15.75">
      <c r="A9" s="81" t="s">
        <v>0</v>
      </c>
      <c r="B9" s="225" t="s">
        <v>56</v>
      </c>
      <c r="C9" s="64" t="s">
        <v>57</v>
      </c>
      <c r="D9" s="65" t="s">
        <v>63</v>
      </c>
      <c r="E9" s="64" t="s">
        <v>61</v>
      </c>
      <c r="F9" s="65"/>
      <c r="G9" s="231" t="s">
        <v>59</v>
      </c>
      <c r="H9" s="62" t="s">
        <v>60</v>
      </c>
      <c r="I9" s="234" t="s">
        <v>89</v>
      </c>
    </row>
    <row r="10" spans="1:9" ht="33.75" customHeight="1" thickBot="1">
      <c r="A10" s="61"/>
      <c r="B10" s="226"/>
      <c r="C10" s="82"/>
      <c r="D10" s="66" t="s">
        <v>64</v>
      </c>
      <c r="E10" s="82" t="s">
        <v>58</v>
      </c>
      <c r="F10" s="66"/>
      <c r="G10" s="232"/>
      <c r="H10" s="63"/>
      <c r="I10" s="235" t="s">
        <v>249</v>
      </c>
    </row>
    <row r="11" spans="1:9" ht="19.5" thickBot="1">
      <c r="A11" s="79" t="s">
        <v>55</v>
      </c>
      <c r="B11" s="28" t="s">
        <v>86</v>
      </c>
      <c r="C11" s="21"/>
      <c r="D11" s="12"/>
      <c r="E11" s="21"/>
      <c r="F11" s="12"/>
      <c r="G11" s="55"/>
      <c r="H11" s="39">
        <f>H12+H42+H47+H64+H84+H158+H163+H188+H196+H220</f>
        <v>693587.1</v>
      </c>
      <c r="I11" s="236">
        <f>I12+I42+I47+I64+I84+I158+I163+I188+I196+I220</f>
        <v>52350</v>
      </c>
    </row>
    <row r="12" spans="1:9" ht="15.75">
      <c r="A12" s="160" t="s">
        <v>17</v>
      </c>
      <c r="B12" s="107" t="s">
        <v>86</v>
      </c>
      <c r="C12" s="17" t="s">
        <v>186</v>
      </c>
      <c r="D12" s="32" t="s">
        <v>126</v>
      </c>
      <c r="E12" s="17"/>
      <c r="F12" s="101"/>
      <c r="G12" s="92"/>
      <c r="H12" s="40">
        <f>H13+H23+H31+H35+H17+H27</f>
        <v>120414.6</v>
      </c>
      <c r="I12" s="40">
        <f>I13+I23+I31+I35+I17</f>
        <v>5147</v>
      </c>
    </row>
    <row r="13" spans="1:9" s="23" customFormat="1" ht="26.25">
      <c r="A13" s="126" t="s">
        <v>102</v>
      </c>
      <c r="B13" s="13" t="s">
        <v>86</v>
      </c>
      <c r="C13" s="34" t="s">
        <v>186</v>
      </c>
      <c r="D13" s="45" t="s">
        <v>187</v>
      </c>
      <c r="E13" s="34"/>
      <c r="F13" s="45"/>
      <c r="G13" s="127"/>
      <c r="H13" s="111">
        <f>H14</f>
        <v>1577.3</v>
      </c>
      <c r="I13" s="128">
        <f>I14</f>
        <v>0</v>
      </c>
    </row>
    <row r="14" spans="1:9" s="48" customFormat="1" ht="39">
      <c r="A14" s="68" t="s">
        <v>305</v>
      </c>
      <c r="B14" s="72" t="s">
        <v>86</v>
      </c>
      <c r="C14" s="73" t="s">
        <v>186</v>
      </c>
      <c r="D14" s="74" t="s">
        <v>187</v>
      </c>
      <c r="E14" s="73" t="s">
        <v>277</v>
      </c>
      <c r="F14" s="74"/>
      <c r="G14" s="75"/>
      <c r="H14" s="71">
        <f>H16</f>
        <v>1577.3</v>
      </c>
      <c r="I14" s="83">
        <f>I16</f>
        <v>0</v>
      </c>
    </row>
    <row r="15" spans="1:9" s="48" customFormat="1" ht="15.75">
      <c r="A15" s="69" t="s">
        <v>306</v>
      </c>
      <c r="B15" s="72" t="s">
        <v>86</v>
      </c>
      <c r="C15" s="73" t="s">
        <v>186</v>
      </c>
      <c r="D15" s="74" t="s">
        <v>187</v>
      </c>
      <c r="E15" s="73" t="s">
        <v>307</v>
      </c>
      <c r="F15" s="74"/>
      <c r="G15" s="75"/>
      <c r="H15" s="71">
        <f>H16</f>
        <v>1577.3</v>
      </c>
      <c r="I15" s="71">
        <f>I16</f>
        <v>0</v>
      </c>
    </row>
    <row r="16" spans="1:9" s="48" customFormat="1" ht="15.75">
      <c r="A16" s="70" t="s">
        <v>146</v>
      </c>
      <c r="B16" s="72" t="s">
        <v>86</v>
      </c>
      <c r="C16" s="73" t="s">
        <v>186</v>
      </c>
      <c r="D16" s="74" t="s">
        <v>187</v>
      </c>
      <c r="E16" s="73" t="s">
        <v>307</v>
      </c>
      <c r="F16" s="74"/>
      <c r="G16" s="75" t="s">
        <v>278</v>
      </c>
      <c r="H16" s="71">
        <f>1907.3-330</f>
        <v>1577.3</v>
      </c>
      <c r="I16" s="83"/>
    </row>
    <row r="17" spans="1:9" s="23" customFormat="1" ht="39">
      <c r="A17" s="126" t="s">
        <v>309</v>
      </c>
      <c r="B17" s="108" t="s">
        <v>86</v>
      </c>
      <c r="C17" s="105" t="s">
        <v>186</v>
      </c>
      <c r="D17" s="114" t="s">
        <v>191</v>
      </c>
      <c r="E17" s="105"/>
      <c r="F17" s="114"/>
      <c r="G17" s="123"/>
      <c r="H17" s="86">
        <f>H18</f>
        <v>6845.4</v>
      </c>
      <c r="I17" s="86">
        <f>I18</f>
        <v>0</v>
      </c>
    </row>
    <row r="18" spans="1:9" s="48" customFormat="1" ht="39">
      <c r="A18" s="68" t="s">
        <v>305</v>
      </c>
      <c r="B18" s="72" t="s">
        <v>86</v>
      </c>
      <c r="C18" s="73" t="s">
        <v>186</v>
      </c>
      <c r="D18" s="74" t="s">
        <v>191</v>
      </c>
      <c r="E18" s="73" t="s">
        <v>277</v>
      </c>
      <c r="F18" s="74"/>
      <c r="G18" s="75"/>
      <c r="H18" s="71">
        <f>H19+H21</f>
        <v>6845.4</v>
      </c>
      <c r="I18" s="71">
        <f>I19+I21</f>
        <v>0</v>
      </c>
    </row>
    <row r="19" spans="1:9" s="48" customFormat="1" ht="15.75">
      <c r="A19" s="70" t="s">
        <v>310</v>
      </c>
      <c r="B19" s="72" t="s">
        <v>86</v>
      </c>
      <c r="C19" s="73" t="s">
        <v>186</v>
      </c>
      <c r="D19" s="74" t="s">
        <v>191</v>
      </c>
      <c r="E19" s="73" t="s">
        <v>311</v>
      </c>
      <c r="F19" s="74"/>
      <c r="G19" s="75"/>
      <c r="H19" s="71">
        <f>H20</f>
        <v>1756</v>
      </c>
      <c r="I19" s="71">
        <f>I20</f>
        <v>0</v>
      </c>
    </row>
    <row r="20" spans="1:9" s="48" customFormat="1" ht="15.75">
      <c r="A20" s="70" t="s">
        <v>146</v>
      </c>
      <c r="B20" s="72" t="s">
        <v>86</v>
      </c>
      <c r="C20" s="73" t="s">
        <v>186</v>
      </c>
      <c r="D20" s="74" t="s">
        <v>191</v>
      </c>
      <c r="E20" s="73" t="s">
        <v>311</v>
      </c>
      <c r="F20" s="74"/>
      <c r="G20" s="75" t="s">
        <v>278</v>
      </c>
      <c r="H20" s="71">
        <v>1756</v>
      </c>
      <c r="I20" s="83"/>
    </row>
    <row r="21" spans="1:9" s="48" customFormat="1" ht="15.75">
      <c r="A21" s="70" t="s">
        <v>312</v>
      </c>
      <c r="B21" s="72" t="s">
        <v>86</v>
      </c>
      <c r="C21" s="73" t="s">
        <v>186</v>
      </c>
      <c r="D21" s="74" t="s">
        <v>191</v>
      </c>
      <c r="E21" s="73" t="s">
        <v>313</v>
      </c>
      <c r="F21" s="74"/>
      <c r="G21" s="75"/>
      <c r="H21" s="71">
        <f>H22</f>
        <v>5089.4</v>
      </c>
      <c r="I21" s="71">
        <f>I22</f>
        <v>0</v>
      </c>
    </row>
    <row r="22" spans="1:9" s="48" customFormat="1" ht="15.75">
      <c r="A22" s="70" t="s">
        <v>146</v>
      </c>
      <c r="B22" s="72" t="s">
        <v>86</v>
      </c>
      <c r="C22" s="73" t="s">
        <v>186</v>
      </c>
      <c r="D22" s="74" t="s">
        <v>191</v>
      </c>
      <c r="E22" s="73" t="s">
        <v>313</v>
      </c>
      <c r="F22" s="74"/>
      <c r="G22" s="75" t="s">
        <v>278</v>
      </c>
      <c r="H22" s="71">
        <f>4344+1200-454.6</f>
        <v>5089.4</v>
      </c>
      <c r="I22" s="83"/>
    </row>
    <row r="23" spans="1:9" s="23" customFormat="1" ht="26.25">
      <c r="A23" s="129" t="s">
        <v>103</v>
      </c>
      <c r="B23" s="108" t="s">
        <v>86</v>
      </c>
      <c r="C23" s="105" t="s">
        <v>186</v>
      </c>
      <c r="D23" s="114" t="s">
        <v>188</v>
      </c>
      <c r="E23" s="105"/>
      <c r="F23" s="114"/>
      <c r="G23" s="123"/>
      <c r="H23" s="86">
        <f aca="true" t="shared" si="0" ref="H23:I25">H24</f>
        <v>103293.3</v>
      </c>
      <c r="I23" s="98">
        <f t="shared" si="0"/>
        <v>5147</v>
      </c>
    </row>
    <row r="24" spans="1:9" ht="39">
      <c r="A24" s="68" t="s">
        <v>305</v>
      </c>
      <c r="B24" s="72" t="s">
        <v>86</v>
      </c>
      <c r="C24" s="73" t="s">
        <v>186</v>
      </c>
      <c r="D24" s="74" t="s">
        <v>188</v>
      </c>
      <c r="E24" s="76" t="s">
        <v>277</v>
      </c>
      <c r="F24" s="67"/>
      <c r="G24" s="77"/>
      <c r="H24" s="71">
        <f t="shared" si="0"/>
        <v>103293.3</v>
      </c>
      <c r="I24" s="83">
        <f t="shared" si="0"/>
        <v>5147</v>
      </c>
    </row>
    <row r="25" spans="1:9" ht="15.75">
      <c r="A25" s="69" t="s">
        <v>50</v>
      </c>
      <c r="B25" s="72" t="s">
        <v>86</v>
      </c>
      <c r="C25" s="73" t="s">
        <v>186</v>
      </c>
      <c r="D25" s="74" t="s">
        <v>188</v>
      </c>
      <c r="E25" s="76" t="s">
        <v>279</v>
      </c>
      <c r="F25" s="67"/>
      <c r="G25" s="93"/>
      <c r="H25" s="71">
        <f t="shared" si="0"/>
        <v>103293.3</v>
      </c>
      <c r="I25" s="83">
        <f t="shared" si="0"/>
        <v>5147</v>
      </c>
    </row>
    <row r="26" spans="1:9" ht="15.75">
      <c r="A26" s="70" t="s">
        <v>146</v>
      </c>
      <c r="B26" s="72" t="s">
        <v>86</v>
      </c>
      <c r="C26" s="73" t="s">
        <v>186</v>
      </c>
      <c r="D26" s="74" t="s">
        <v>188</v>
      </c>
      <c r="E26" s="73" t="s">
        <v>279</v>
      </c>
      <c r="F26" s="74"/>
      <c r="G26" s="75" t="s">
        <v>278</v>
      </c>
      <c r="H26" s="71">
        <f>92473.7+1910+1215+2916+1000+200+240+1263+6200-1000-4030+27684+14-69-265-115-124-177-77-6497-200+2800-67-23000+998.6</f>
        <v>103293.3</v>
      </c>
      <c r="I26" s="83">
        <f>6041-69-265-115-124-177-77-67</f>
        <v>5147</v>
      </c>
    </row>
    <row r="27" spans="1:9" s="23" customFormat="1" ht="15.75">
      <c r="A27" s="113" t="s">
        <v>426</v>
      </c>
      <c r="B27" s="108" t="s">
        <v>86</v>
      </c>
      <c r="C27" s="105" t="s">
        <v>186</v>
      </c>
      <c r="D27" s="114" t="s">
        <v>200</v>
      </c>
      <c r="E27" s="105"/>
      <c r="F27" s="114"/>
      <c r="G27" s="329"/>
      <c r="H27" s="86">
        <f>H28</f>
        <v>46.6</v>
      </c>
      <c r="I27" s="98"/>
    </row>
    <row r="28" spans="1:9" ht="15.75">
      <c r="A28" s="70" t="s">
        <v>147</v>
      </c>
      <c r="B28" s="72" t="s">
        <v>86</v>
      </c>
      <c r="C28" s="73" t="s">
        <v>186</v>
      </c>
      <c r="D28" s="74" t="s">
        <v>200</v>
      </c>
      <c r="E28" s="73" t="s">
        <v>427</v>
      </c>
      <c r="F28" s="74"/>
      <c r="G28" s="142"/>
      <c r="H28" s="71">
        <f>H29</f>
        <v>46.6</v>
      </c>
      <c r="I28" s="83"/>
    </row>
    <row r="29" spans="1:9" ht="26.25">
      <c r="A29" s="69" t="s">
        <v>428</v>
      </c>
      <c r="B29" s="72" t="s">
        <v>86</v>
      </c>
      <c r="C29" s="73" t="s">
        <v>186</v>
      </c>
      <c r="D29" s="74" t="s">
        <v>200</v>
      </c>
      <c r="E29" s="73" t="s">
        <v>429</v>
      </c>
      <c r="F29" s="74"/>
      <c r="G29" s="142"/>
      <c r="H29" s="71">
        <f>H30</f>
        <v>46.6</v>
      </c>
      <c r="I29" s="83"/>
    </row>
    <row r="30" spans="1:9" ht="15.75">
      <c r="A30" s="70" t="s">
        <v>146</v>
      </c>
      <c r="B30" s="72" t="s">
        <v>86</v>
      </c>
      <c r="C30" s="73" t="s">
        <v>186</v>
      </c>
      <c r="D30" s="74" t="s">
        <v>200</v>
      </c>
      <c r="E30" s="73" t="s">
        <v>429</v>
      </c>
      <c r="F30" s="74" t="s">
        <v>278</v>
      </c>
      <c r="G30" s="142" t="s">
        <v>278</v>
      </c>
      <c r="H30" s="71">
        <v>46.6</v>
      </c>
      <c r="I30" s="83"/>
    </row>
    <row r="31" spans="1:9" s="23" customFormat="1" ht="15.75">
      <c r="A31" s="119" t="s">
        <v>16</v>
      </c>
      <c r="B31" s="108" t="s">
        <v>86</v>
      </c>
      <c r="C31" s="105" t="s">
        <v>186</v>
      </c>
      <c r="D31" s="114" t="s">
        <v>189</v>
      </c>
      <c r="E31" s="105"/>
      <c r="F31" s="103"/>
      <c r="G31" s="96"/>
      <c r="H31" s="86">
        <f aca="true" t="shared" si="1" ref="H31:I33">H32</f>
        <v>6000</v>
      </c>
      <c r="I31" s="98">
        <f t="shared" si="1"/>
        <v>0</v>
      </c>
    </row>
    <row r="32" spans="1:9" ht="15.75">
      <c r="A32" s="26" t="s">
        <v>16</v>
      </c>
      <c r="B32" s="72" t="s">
        <v>86</v>
      </c>
      <c r="C32" s="73" t="s">
        <v>186</v>
      </c>
      <c r="D32" s="74" t="s">
        <v>189</v>
      </c>
      <c r="E32" s="73" t="s">
        <v>19</v>
      </c>
      <c r="F32" s="78"/>
      <c r="G32" s="93"/>
      <c r="H32" s="71">
        <f t="shared" si="1"/>
        <v>6000</v>
      </c>
      <c r="I32" s="83">
        <f t="shared" si="1"/>
        <v>0</v>
      </c>
    </row>
    <row r="33" spans="1:9" ht="15.75">
      <c r="A33" s="25" t="s">
        <v>149</v>
      </c>
      <c r="B33" s="72" t="s">
        <v>86</v>
      </c>
      <c r="C33" s="73" t="s">
        <v>186</v>
      </c>
      <c r="D33" s="74" t="s">
        <v>189</v>
      </c>
      <c r="E33" s="73" t="s">
        <v>150</v>
      </c>
      <c r="F33" s="78"/>
      <c r="G33" s="93"/>
      <c r="H33" s="71">
        <f t="shared" si="1"/>
        <v>6000</v>
      </c>
      <c r="I33" s="83">
        <f t="shared" si="1"/>
        <v>0</v>
      </c>
    </row>
    <row r="34" spans="1:9" ht="15.75">
      <c r="A34" s="27" t="s">
        <v>148</v>
      </c>
      <c r="B34" s="72" t="s">
        <v>86</v>
      </c>
      <c r="C34" s="73" t="s">
        <v>186</v>
      </c>
      <c r="D34" s="74" t="s">
        <v>189</v>
      </c>
      <c r="E34" s="73" t="s">
        <v>150</v>
      </c>
      <c r="F34" s="78"/>
      <c r="G34" s="93" t="s">
        <v>128</v>
      </c>
      <c r="H34" s="71">
        <f>7000-1000</f>
        <v>6000</v>
      </c>
      <c r="I34" s="83"/>
    </row>
    <row r="35" spans="1:9" s="23" customFormat="1" ht="15.75">
      <c r="A35" s="113" t="s">
        <v>80</v>
      </c>
      <c r="B35" s="108" t="s">
        <v>86</v>
      </c>
      <c r="C35" s="105" t="s">
        <v>186</v>
      </c>
      <c r="D35" s="114" t="s">
        <v>190</v>
      </c>
      <c r="E35" s="105"/>
      <c r="F35" s="103"/>
      <c r="G35" s="96"/>
      <c r="H35" s="86">
        <f>H36+H39</f>
        <v>2652</v>
      </c>
      <c r="I35" s="86">
        <f>I36</f>
        <v>0</v>
      </c>
    </row>
    <row r="36" spans="1:9" ht="26.25">
      <c r="A36" s="47" t="s">
        <v>204</v>
      </c>
      <c r="B36" s="43" t="s">
        <v>86</v>
      </c>
      <c r="C36" s="18" t="s">
        <v>186</v>
      </c>
      <c r="D36" s="30" t="s">
        <v>190</v>
      </c>
      <c r="E36" s="18" t="s">
        <v>138</v>
      </c>
      <c r="F36" s="7"/>
      <c r="G36" s="51"/>
      <c r="H36" s="38">
        <f>H37</f>
        <v>2152</v>
      </c>
      <c r="I36" s="50"/>
    </row>
    <row r="37" spans="1:9" ht="15.75">
      <c r="A37" s="26" t="s">
        <v>77</v>
      </c>
      <c r="B37" s="43" t="s">
        <v>86</v>
      </c>
      <c r="C37" s="18" t="s">
        <v>186</v>
      </c>
      <c r="D37" s="30" t="s">
        <v>190</v>
      </c>
      <c r="E37" s="18" t="s">
        <v>203</v>
      </c>
      <c r="F37" s="7"/>
      <c r="G37" s="51"/>
      <c r="H37" s="38">
        <f>H38</f>
        <v>2152</v>
      </c>
      <c r="I37" s="50"/>
    </row>
    <row r="38" spans="1:9" ht="15.75">
      <c r="A38" s="25" t="s">
        <v>146</v>
      </c>
      <c r="B38" s="44" t="s">
        <v>86</v>
      </c>
      <c r="C38" s="20" t="s">
        <v>186</v>
      </c>
      <c r="D38" s="31" t="s">
        <v>190</v>
      </c>
      <c r="E38" s="20" t="s">
        <v>203</v>
      </c>
      <c r="F38" s="5" t="s">
        <v>49</v>
      </c>
      <c r="G38" s="51" t="s">
        <v>278</v>
      </c>
      <c r="H38" s="38">
        <f>26077+5000-3000-25925</f>
        <v>2152</v>
      </c>
      <c r="I38" s="50"/>
    </row>
    <row r="39" spans="1:9" ht="15.75">
      <c r="A39" s="25" t="s">
        <v>131</v>
      </c>
      <c r="B39" s="44" t="s">
        <v>86</v>
      </c>
      <c r="C39" s="20" t="s">
        <v>186</v>
      </c>
      <c r="D39" s="31" t="s">
        <v>190</v>
      </c>
      <c r="E39" s="20" t="s">
        <v>132</v>
      </c>
      <c r="F39" s="5"/>
      <c r="G39" s="51"/>
      <c r="H39" s="38">
        <f>H40</f>
        <v>500</v>
      </c>
      <c r="I39" s="50"/>
    </row>
    <row r="40" spans="1:9" ht="26.25">
      <c r="A40" s="47" t="s">
        <v>354</v>
      </c>
      <c r="B40" s="44" t="s">
        <v>86</v>
      </c>
      <c r="C40" s="20" t="s">
        <v>186</v>
      </c>
      <c r="D40" s="31" t="s">
        <v>190</v>
      </c>
      <c r="E40" s="20" t="s">
        <v>355</v>
      </c>
      <c r="F40" s="5"/>
      <c r="G40" s="51"/>
      <c r="H40" s="38">
        <f>H41</f>
        <v>500</v>
      </c>
      <c r="I40" s="50"/>
    </row>
    <row r="41" spans="1:9" ht="15.75">
      <c r="A41" s="70" t="s">
        <v>146</v>
      </c>
      <c r="B41" s="44" t="s">
        <v>86</v>
      </c>
      <c r="C41" s="20" t="s">
        <v>186</v>
      </c>
      <c r="D41" s="31" t="s">
        <v>190</v>
      </c>
      <c r="E41" s="20" t="s">
        <v>355</v>
      </c>
      <c r="F41" s="5"/>
      <c r="G41" s="51" t="s">
        <v>278</v>
      </c>
      <c r="H41" s="38">
        <f>5000-2000-2500</f>
        <v>500</v>
      </c>
      <c r="I41" s="50"/>
    </row>
    <row r="42" spans="1:9" ht="15.75">
      <c r="A42" s="119" t="s">
        <v>81</v>
      </c>
      <c r="B42" s="108" t="s">
        <v>86</v>
      </c>
      <c r="C42" s="105" t="s">
        <v>187</v>
      </c>
      <c r="D42" s="228" t="s">
        <v>126</v>
      </c>
      <c r="E42" s="104"/>
      <c r="F42" s="102"/>
      <c r="G42" s="94"/>
      <c r="H42" s="86">
        <f aca="true" t="shared" si="2" ref="H42:I45">H43</f>
        <v>1223.3</v>
      </c>
      <c r="I42" s="98">
        <f t="shared" si="2"/>
        <v>0</v>
      </c>
    </row>
    <row r="43" spans="1:9" ht="15.75">
      <c r="A43" s="27" t="s">
        <v>82</v>
      </c>
      <c r="B43" s="42" t="s">
        <v>86</v>
      </c>
      <c r="C43" s="22" t="s">
        <v>187</v>
      </c>
      <c r="D43" s="29" t="s">
        <v>188</v>
      </c>
      <c r="E43" s="14"/>
      <c r="F43" s="9"/>
      <c r="G43" s="56"/>
      <c r="H43" s="37">
        <f t="shared" si="2"/>
        <v>1223.3</v>
      </c>
      <c r="I43" s="85">
        <f t="shared" si="2"/>
        <v>0</v>
      </c>
    </row>
    <row r="44" spans="1:9" ht="26.25">
      <c r="A44" s="47" t="s">
        <v>104</v>
      </c>
      <c r="B44" s="43" t="s">
        <v>86</v>
      </c>
      <c r="C44" s="18" t="s">
        <v>187</v>
      </c>
      <c r="D44" s="30" t="s">
        <v>188</v>
      </c>
      <c r="E44" s="18" t="s">
        <v>83</v>
      </c>
      <c r="F44" s="30"/>
      <c r="G44" s="51"/>
      <c r="H44" s="38">
        <f t="shared" si="2"/>
        <v>1223.3</v>
      </c>
      <c r="I44" s="49">
        <f t="shared" si="2"/>
        <v>0</v>
      </c>
    </row>
    <row r="45" spans="1:9" ht="16.5" customHeight="1">
      <c r="A45" s="47" t="s">
        <v>105</v>
      </c>
      <c r="B45" s="43" t="s">
        <v>86</v>
      </c>
      <c r="C45" s="18" t="s">
        <v>187</v>
      </c>
      <c r="D45" s="30" t="s">
        <v>188</v>
      </c>
      <c r="E45" s="18" t="s">
        <v>151</v>
      </c>
      <c r="F45" s="30"/>
      <c r="G45" s="51"/>
      <c r="H45" s="38">
        <f t="shared" si="2"/>
        <v>1223.3</v>
      </c>
      <c r="I45" s="49">
        <f t="shared" si="2"/>
        <v>0</v>
      </c>
    </row>
    <row r="46" spans="1:9" ht="15.75">
      <c r="A46" s="70" t="s">
        <v>146</v>
      </c>
      <c r="B46" s="44" t="s">
        <v>86</v>
      </c>
      <c r="C46" s="20" t="s">
        <v>187</v>
      </c>
      <c r="D46" s="31" t="s">
        <v>188</v>
      </c>
      <c r="E46" s="20" t="s">
        <v>151</v>
      </c>
      <c r="F46" s="31"/>
      <c r="G46" s="56" t="s">
        <v>278</v>
      </c>
      <c r="H46" s="36">
        <f>1223+0.3</f>
        <v>1223.3</v>
      </c>
      <c r="I46" s="53"/>
    </row>
    <row r="47" spans="1:9" ht="15.75">
      <c r="A47" s="119" t="s">
        <v>115</v>
      </c>
      <c r="B47" s="108" t="s">
        <v>86</v>
      </c>
      <c r="C47" s="105" t="s">
        <v>191</v>
      </c>
      <c r="D47" s="228" t="s">
        <v>126</v>
      </c>
      <c r="E47" s="104"/>
      <c r="F47" s="102"/>
      <c r="G47" s="94"/>
      <c r="H47" s="86">
        <f>H48+H55</f>
        <v>8431.2</v>
      </c>
      <c r="I47" s="86">
        <f>I48+I55</f>
        <v>0</v>
      </c>
    </row>
    <row r="48" spans="1:9" s="23" customFormat="1" ht="26.25">
      <c r="A48" s="129" t="s">
        <v>169</v>
      </c>
      <c r="B48" s="107" t="s">
        <v>86</v>
      </c>
      <c r="C48" s="105" t="s">
        <v>191</v>
      </c>
      <c r="D48" s="114" t="s">
        <v>192</v>
      </c>
      <c r="E48" s="105"/>
      <c r="F48" s="103"/>
      <c r="G48" s="96"/>
      <c r="H48" s="86">
        <f>H52+H49</f>
        <v>3653.2</v>
      </c>
      <c r="I48" s="98">
        <f>I52+I49</f>
        <v>0</v>
      </c>
    </row>
    <row r="49" spans="1:9" ht="29.25" customHeight="1">
      <c r="A49" s="69" t="s">
        <v>139</v>
      </c>
      <c r="B49" s="42" t="s">
        <v>86</v>
      </c>
      <c r="C49" s="22" t="s">
        <v>191</v>
      </c>
      <c r="D49" s="29" t="s">
        <v>192</v>
      </c>
      <c r="E49" s="22" t="s">
        <v>140</v>
      </c>
      <c r="F49" s="29" t="s">
        <v>49</v>
      </c>
      <c r="G49" s="95"/>
      <c r="H49" s="37">
        <f>H50</f>
        <v>2245.2</v>
      </c>
      <c r="I49" s="85">
        <f>I50</f>
        <v>0</v>
      </c>
    </row>
    <row r="50" spans="1:9" ht="28.5" customHeight="1">
      <c r="A50" s="69" t="s">
        <v>141</v>
      </c>
      <c r="B50" s="42" t="s">
        <v>86</v>
      </c>
      <c r="C50" s="22" t="s">
        <v>191</v>
      </c>
      <c r="D50" s="29" t="s">
        <v>192</v>
      </c>
      <c r="E50" s="22" t="s">
        <v>170</v>
      </c>
      <c r="F50" s="29" t="s">
        <v>142</v>
      </c>
      <c r="G50" s="95"/>
      <c r="H50" s="37">
        <f>H51</f>
        <v>2245.2</v>
      </c>
      <c r="I50" s="85">
        <f>I51</f>
        <v>0</v>
      </c>
    </row>
    <row r="51" spans="1:9" ht="15" customHeight="1">
      <c r="A51" s="70" t="s">
        <v>146</v>
      </c>
      <c r="B51" s="42" t="s">
        <v>86</v>
      </c>
      <c r="C51" s="22" t="s">
        <v>191</v>
      </c>
      <c r="D51" s="29" t="s">
        <v>192</v>
      </c>
      <c r="E51" s="22" t="s">
        <v>170</v>
      </c>
      <c r="F51" s="29"/>
      <c r="G51" s="95" t="s">
        <v>278</v>
      </c>
      <c r="H51" s="37">
        <f>1521+724.2</f>
        <v>2245.2</v>
      </c>
      <c r="I51" s="85"/>
    </row>
    <row r="52" spans="1:9" ht="15.75">
      <c r="A52" s="25" t="s">
        <v>21</v>
      </c>
      <c r="B52" s="43" t="s">
        <v>86</v>
      </c>
      <c r="C52" s="18" t="s">
        <v>191</v>
      </c>
      <c r="D52" s="30" t="s">
        <v>192</v>
      </c>
      <c r="E52" s="18" t="s">
        <v>22</v>
      </c>
      <c r="F52" s="30"/>
      <c r="G52" s="87"/>
      <c r="H52" s="38">
        <f>H53</f>
        <v>1408</v>
      </c>
      <c r="I52" s="49">
        <f>I53</f>
        <v>0</v>
      </c>
    </row>
    <row r="53" spans="1:9" ht="26.25">
      <c r="A53" s="47" t="s">
        <v>118</v>
      </c>
      <c r="B53" s="44" t="s">
        <v>86</v>
      </c>
      <c r="C53" s="20" t="s">
        <v>191</v>
      </c>
      <c r="D53" s="31" t="s">
        <v>192</v>
      </c>
      <c r="E53" s="18" t="s">
        <v>171</v>
      </c>
      <c r="F53" s="30"/>
      <c r="G53" s="59"/>
      <c r="H53" s="36">
        <f>H54</f>
        <v>1408</v>
      </c>
      <c r="I53" s="60">
        <f>I54</f>
        <v>0</v>
      </c>
    </row>
    <row r="54" spans="1:9" ht="15.75">
      <c r="A54" s="70" t="s">
        <v>146</v>
      </c>
      <c r="B54" s="44" t="s">
        <v>86</v>
      </c>
      <c r="C54" s="20" t="s">
        <v>191</v>
      </c>
      <c r="D54" s="31" t="s">
        <v>192</v>
      </c>
      <c r="E54" s="18" t="s">
        <v>171</v>
      </c>
      <c r="F54" s="30"/>
      <c r="G54" s="95" t="s">
        <v>278</v>
      </c>
      <c r="H54" s="36">
        <f>3908-2500</f>
        <v>1408</v>
      </c>
      <c r="I54" s="50"/>
    </row>
    <row r="55" spans="1:9" s="23" customFormat="1" ht="26.25">
      <c r="A55" s="126" t="s">
        <v>107</v>
      </c>
      <c r="B55" s="107" t="s">
        <v>86</v>
      </c>
      <c r="C55" s="17" t="s">
        <v>191</v>
      </c>
      <c r="D55" s="32" t="s">
        <v>190</v>
      </c>
      <c r="E55" s="17"/>
      <c r="F55" s="32"/>
      <c r="G55" s="125"/>
      <c r="H55" s="90">
        <f>H56+H59</f>
        <v>4778</v>
      </c>
      <c r="I55" s="97">
        <f>I56+I59</f>
        <v>0</v>
      </c>
    </row>
    <row r="56" spans="1:9" ht="26.25">
      <c r="A56" s="47" t="s">
        <v>108</v>
      </c>
      <c r="B56" s="44" t="s">
        <v>86</v>
      </c>
      <c r="C56" s="20" t="s">
        <v>191</v>
      </c>
      <c r="D56" s="31" t="s">
        <v>190</v>
      </c>
      <c r="E56" s="20" t="s">
        <v>84</v>
      </c>
      <c r="F56" s="5"/>
      <c r="G56" s="87"/>
      <c r="H56" s="36">
        <f>H57</f>
        <v>1338</v>
      </c>
      <c r="I56" s="60">
        <f>I57</f>
        <v>0</v>
      </c>
    </row>
    <row r="57" spans="1:9" ht="15.75">
      <c r="A57" s="25" t="s">
        <v>27</v>
      </c>
      <c r="B57" s="44" t="s">
        <v>86</v>
      </c>
      <c r="C57" s="20" t="s">
        <v>191</v>
      </c>
      <c r="D57" s="31" t="s">
        <v>190</v>
      </c>
      <c r="E57" s="20" t="s">
        <v>174</v>
      </c>
      <c r="F57" s="5"/>
      <c r="G57" s="57"/>
      <c r="H57" s="36">
        <f>H58</f>
        <v>1338</v>
      </c>
      <c r="I57" s="60">
        <f>I58</f>
        <v>0</v>
      </c>
    </row>
    <row r="58" spans="1:9" ht="15.75">
      <c r="A58" s="27" t="s">
        <v>146</v>
      </c>
      <c r="B58" s="44" t="s">
        <v>86</v>
      </c>
      <c r="C58" s="20" t="s">
        <v>191</v>
      </c>
      <c r="D58" s="31" t="s">
        <v>190</v>
      </c>
      <c r="E58" s="20" t="s">
        <v>174</v>
      </c>
      <c r="F58" s="5"/>
      <c r="G58" s="95" t="s">
        <v>278</v>
      </c>
      <c r="H58" s="36">
        <v>1338</v>
      </c>
      <c r="I58" s="53"/>
    </row>
    <row r="59" spans="1:9" ht="15.75">
      <c r="A59" s="25" t="s">
        <v>131</v>
      </c>
      <c r="B59" s="44" t="s">
        <v>86</v>
      </c>
      <c r="C59" s="20" t="s">
        <v>191</v>
      </c>
      <c r="D59" s="31" t="s">
        <v>190</v>
      </c>
      <c r="E59" s="20" t="s">
        <v>132</v>
      </c>
      <c r="F59" s="5"/>
      <c r="G59" s="122"/>
      <c r="H59" s="36">
        <f>H60+H62</f>
        <v>3440</v>
      </c>
      <c r="I59" s="60">
        <f>I60</f>
        <v>0</v>
      </c>
    </row>
    <row r="60" spans="1:9" ht="41.25" customHeight="1">
      <c r="A60" s="47" t="s">
        <v>378</v>
      </c>
      <c r="B60" s="44" t="s">
        <v>86</v>
      </c>
      <c r="C60" s="20" t="s">
        <v>191</v>
      </c>
      <c r="D60" s="31" t="s">
        <v>190</v>
      </c>
      <c r="E60" s="20" t="s">
        <v>263</v>
      </c>
      <c r="F60" s="5"/>
      <c r="G60" s="122"/>
      <c r="H60" s="36">
        <f>H61</f>
        <v>3440</v>
      </c>
      <c r="I60" s="60">
        <f>I61</f>
        <v>0</v>
      </c>
    </row>
    <row r="61" spans="1:9" ht="14.25" customHeight="1">
      <c r="A61" s="27" t="s">
        <v>146</v>
      </c>
      <c r="B61" s="43" t="s">
        <v>86</v>
      </c>
      <c r="C61" s="20" t="s">
        <v>191</v>
      </c>
      <c r="D61" s="31" t="s">
        <v>190</v>
      </c>
      <c r="E61" s="20" t="s">
        <v>263</v>
      </c>
      <c r="F61" s="5"/>
      <c r="G61" s="122" t="s">
        <v>278</v>
      </c>
      <c r="H61" s="36">
        <f>4440-1000</f>
        <v>3440</v>
      </c>
      <c r="I61" s="53"/>
    </row>
    <row r="62" spans="1:9" ht="39" hidden="1">
      <c r="A62" s="47" t="s">
        <v>289</v>
      </c>
      <c r="B62" s="43" t="s">
        <v>86</v>
      </c>
      <c r="C62" s="18" t="s">
        <v>191</v>
      </c>
      <c r="D62" s="30" t="s">
        <v>190</v>
      </c>
      <c r="E62" s="18" t="s">
        <v>288</v>
      </c>
      <c r="F62" s="30"/>
      <c r="G62" s="87"/>
      <c r="H62" s="36">
        <f>H63</f>
        <v>0</v>
      </c>
      <c r="I62" s="53"/>
    </row>
    <row r="63" spans="1:9" ht="15.75" hidden="1">
      <c r="A63" s="70" t="s">
        <v>146</v>
      </c>
      <c r="B63" s="43" t="s">
        <v>186</v>
      </c>
      <c r="C63" s="18" t="s">
        <v>191</v>
      </c>
      <c r="D63" s="30" t="s">
        <v>190</v>
      </c>
      <c r="E63" s="18" t="s">
        <v>288</v>
      </c>
      <c r="F63" s="30"/>
      <c r="G63" s="87" t="s">
        <v>278</v>
      </c>
      <c r="H63" s="36">
        <f>2500-2000-500</f>
        <v>0</v>
      </c>
      <c r="I63" s="53"/>
    </row>
    <row r="64" spans="1:9" ht="15.75">
      <c r="A64" s="119" t="s">
        <v>65</v>
      </c>
      <c r="B64" s="108" t="s">
        <v>86</v>
      </c>
      <c r="C64" s="105" t="s">
        <v>188</v>
      </c>
      <c r="D64" s="114" t="s">
        <v>126</v>
      </c>
      <c r="E64" s="105"/>
      <c r="F64" s="103"/>
      <c r="G64" s="96"/>
      <c r="H64" s="86">
        <f>H65+H70+H75</f>
        <v>30410.699999999997</v>
      </c>
      <c r="I64" s="86">
        <f>I65+I70+I75</f>
        <v>0</v>
      </c>
    </row>
    <row r="65" spans="1:9" s="23" customFormat="1" ht="15.75">
      <c r="A65" s="113" t="s">
        <v>98</v>
      </c>
      <c r="B65" s="107" t="s">
        <v>86</v>
      </c>
      <c r="C65" s="17" t="s">
        <v>188</v>
      </c>
      <c r="D65" s="32" t="s">
        <v>195</v>
      </c>
      <c r="E65" s="17"/>
      <c r="F65" s="32"/>
      <c r="G65" s="125"/>
      <c r="H65" s="90">
        <f aca="true" t="shared" si="3" ref="H65:I68">H66</f>
        <v>19496</v>
      </c>
      <c r="I65" s="97">
        <f t="shared" si="3"/>
        <v>0</v>
      </c>
    </row>
    <row r="66" spans="1:9" ht="15.75">
      <c r="A66" s="25" t="s">
        <v>175</v>
      </c>
      <c r="B66" s="43" t="s">
        <v>86</v>
      </c>
      <c r="C66" s="22" t="s">
        <v>188</v>
      </c>
      <c r="D66" s="29" t="s">
        <v>195</v>
      </c>
      <c r="E66" s="18" t="s">
        <v>176</v>
      </c>
      <c r="F66" s="30"/>
      <c r="G66" s="87"/>
      <c r="H66" s="38">
        <f t="shared" si="3"/>
        <v>19496</v>
      </c>
      <c r="I66" s="49">
        <f t="shared" si="3"/>
        <v>0</v>
      </c>
    </row>
    <row r="67" spans="1:9" ht="15.75">
      <c r="A67" s="25" t="s">
        <v>177</v>
      </c>
      <c r="B67" s="43" t="s">
        <v>86</v>
      </c>
      <c r="C67" s="22" t="s">
        <v>188</v>
      </c>
      <c r="D67" s="29" t="s">
        <v>195</v>
      </c>
      <c r="E67" s="18" t="s">
        <v>178</v>
      </c>
      <c r="F67" s="30"/>
      <c r="G67" s="59"/>
      <c r="H67" s="38">
        <f t="shared" si="3"/>
        <v>19496</v>
      </c>
      <c r="I67" s="49">
        <f t="shared" si="3"/>
        <v>0</v>
      </c>
    </row>
    <row r="68" spans="1:9" ht="39">
      <c r="A68" s="47" t="s">
        <v>179</v>
      </c>
      <c r="B68" s="42" t="s">
        <v>86</v>
      </c>
      <c r="C68" s="22" t="s">
        <v>188</v>
      </c>
      <c r="D68" s="29" t="s">
        <v>195</v>
      </c>
      <c r="E68" s="18" t="s">
        <v>180</v>
      </c>
      <c r="F68" s="30" t="s">
        <v>49</v>
      </c>
      <c r="G68" s="87"/>
      <c r="H68" s="37">
        <f t="shared" si="3"/>
        <v>19496</v>
      </c>
      <c r="I68" s="85">
        <f t="shared" si="3"/>
        <v>0</v>
      </c>
    </row>
    <row r="69" spans="1:9" ht="15.75">
      <c r="A69" s="27" t="s">
        <v>181</v>
      </c>
      <c r="B69" s="42" t="s">
        <v>86</v>
      </c>
      <c r="C69" s="22" t="s">
        <v>188</v>
      </c>
      <c r="D69" s="29" t="s">
        <v>195</v>
      </c>
      <c r="E69" s="18" t="s">
        <v>180</v>
      </c>
      <c r="F69" s="30" t="s">
        <v>143</v>
      </c>
      <c r="G69" s="122" t="s">
        <v>87</v>
      </c>
      <c r="H69" s="37">
        <f>17928+1568</f>
        <v>19496</v>
      </c>
      <c r="I69" s="85"/>
    </row>
    <row r="70" spans="1:9" s="23" customFormat="1" ht="15.75">
      <c r="A70" s="113" t="s">
        <v>99</v>
      </c>
      <c r="B70" s="107" t="s">
        <v>86</v>
      </c>
      <c r="C70" s="17" t="s">
        <v>188</v>
      </c>
      <c r="D70" s="32" t="s">
        <v>192</v>
      </c>
      <c r="E70" s="105"/>
      <c r="F70" s="114"/>
      <c r="G70" s="267"/>
      <c r="H70" s="90">
        <f>H71</f>
        <v>5189.1</v>
      </c>
      <c r="I70" s="97">
        <f>I71</f>
        <v>0</v>
      </c>
    </row>
    <row r="71" spans="1:9" ht="15.75">
      <c r="A71" s="27" t="s">
        <v>99</v>
      </c>
      <c r="B71" s="42" t="s">
        <v>86</v>
      </c>
      <c r="C71" s="22" t="s">
        <v>188</v>
      </c>
      <c r="D71" s="29" t="s">
        <v>192</v>
      </c>
      <c r="E71" s="18" t="s">
        <v>196</v>
      </c>
      <c r="F71" s="30"/>
      <c r="G71" s="266"/>
      <c r="H71" s="37">
        <f>H72</f>
        <v>5189.1</v>
      </c>
      <c r="I71" s="85">
        <f>I72</f>
        <v>0</v>
      </c>
    </row>
    <row r="72" spans="1:9" ht="15.75">
      <c r="A72" s="27" t="s">
        <v>197</v>
      </c>
      <c r="B72" s="42" t="s">
        <v>86</v>
      </c>
      <c r="C72" s="22" t="s">
        <v>188</v>
      </c>
      <c r="D72" s="29" t="s">
        <v>192</v>
      </c>
      <c r="E72" s="18" t="s">
        <v>199</v>
      </c>
      <c r="F72" s="30"/>
      <c r="G72" s="266"/>
      <c r="H72" s="37">
        <f>H73</f>
        <v>5189.1</v>
      </c>
      <c r="I72" s="85">
        <f>I74</f>
        <v>0</v>
      </c>
    </row>
    <row r="73" spans="1:9" ht="15.75">
      <c r="A73" s="27" t="s">
        <v>321</v>
      </c>
      <c r="B73" s="42" t="s">
        <v>86</v>
      </c>
      <c r="C73" s="22" t="s">
        <v>188</v>
      </c>
      <c r="D73" s="29" t="s">
        <v>192</v>
      </c>
      <c r="E73" s="18" t="s">
        <v>322</v>
      </c>
      <c r="F73" s="30"/>
      <c r="G73" s="130"/>
      <c r="H73" s="37">
        <f>H74</f>
        <v>5189.1</v>
      </c>
      <c r="I73" s="85"/>
    </row>
    <row r="74" spans="1:9" ht="15.75">
      <c r="A74" s="27" t="s">
        <v>323</v>
      </c>
      <c r="B74" s="42" t="s">
        <v>86</v>
      </c>
      <c r="C74" s="22" t="s">
        <v>188</v>
      </c>
      <c r="D74" s="29" t="s">
        <v>192</v>
      </c>
      <c r="E74" s="18" t="s">
        <v>322</v>
      </c>
      <c r="F74" s="30"/>
      <c r="G74" s="130" t="s">
        <v>127</v>
      </c>
      <c r="H74" s="37">
        <f>4594+516+6563-516-6000+32.1</f>
        <v>5189.1</v>
      </c>
      <c r="I74" s="85"/>
    </row>
    <row r="75" spans="1:9" s="23" customFormat="1" ht="15.75">
      <c r="A75" s="113" t="s">
        <v>66</v>
      </c>
      <c r="B75" s="107" t="s">
        <v>86</v>
      </c>
      <c r="C75" s="17" t="s">
        <v>188</v>
      </c>
      <c r="D75" s="32" t="s">
        <v>189</v>
      </c>
      <c r="E75" s="105"/>
      <c r="F75" s="114"/>
      <c r="G75" s="131"/>
      <c r="H75" s="90">
        <f>H78+H81+H76</f>
        <v>5725.6</v>
      </c>
      <c r="I75" s="90">
        <f>I78+I81</f>
        <v>0</v>
      </c>
    </row>
    <row r="76" spans="1:9" s="23" customFormat="1" ht="30.75" customHeight="1">
      <c r="A76" s="35" t="s">
        <v>438</v>
      </c>
      <c r="B76" s="42" t="s">
        <v>86</v>
      </c>
      <c r="C76" s="22" t="s">
        <v>188</v>
      </c>
      <c r="D76" s="29" t="s">
        <v>189</v>
      </c>
      <c r="E76" s="18" t="s">
        <v>439</v>
      </c>
      <c r="F76" s="114"/>
      <c r="G76" s="363"/>
      <c r="H76" s="37">
        <f>H77</f>
        <v>4341.3</v>
      </c>
      <c r="I76" s="85"/>
    </row>
    <row r="77" spans="1:9" s="23" customFormat="1" ht="15.75">
      <c r="A77" s="27" t="s">
        <v>146</v>
      </c>
      <c r="B77" s="42" t="s">
        <v>86</v>
      </c>
      <c r="C77" s="22" t="s">
        <v>188</v>
      </c>
      <c r="D77" s="29" t="s">
        <v>189</v>
      </c>
      <c r="E77" s="18" t="s">
        <v>439</v>
      </c>
      <c r="F77" s="114" t="s">
        <v>278</v>
      </c>
      <c r="G77" s="363" t="s">
        <v>278</v>
      </c>
      <c r="H77" s="37">
        <v>4341.3</v>
      </c>
      <c r="I77" s="85"/>
    </row>
    <row r="78" spans="1:9" ht="26.25">
      <c r="A78" s="47" t="s">
        <v>109</v>
      </c>
      <c r="B78" s="43" t="s">
        <v>86</v>
      </c>
      <c r="C78" s="22" t="s">
        <v>188</v>
      </c>
      <c r="D78" s="30" t="s">
        <v>189</v>
      </c>
      <c r="E78" s="18" t="s">
        <v>76</v>
      </c>
      <c r="F78" s="30"/>
      <c r="G78" s="87"/>
      <c r="H78" s="38">
        <f>H79</f>
        <v>1022</v>
      </c>
      <c r="I78" s="49">
        <f>I80</f>
        <v>0</v>
      </c>
    </row>
    <row r="79" spans="1:9" ht="15.75">
      <c r="A79" s="35" t="s">
        <v>349</v>
      </c>
      <c r="B79" s="44" t="s">
        <v>86</v>
      </c>
      <c r="C79" s="22" t="s">
        <v>188</v>
      </c>
      <c r="D79" s="31" t="s">
        <v>189</v>
      </c>
      <c r="E79" s="20" t="s">
        <v>350</v>
      </c>
      <c r="F79" s="31"/>
      <c r="G79" s="122"/>
      <c r="H79" s="36">
        <f>H80</f>
        <v>1022</v>
      </c>
      <c r="I79" s="60"/>
    </row>
    <row r="80" spans="1:9" ht="15.75">
      <c r="A80" s="70" t="s">
        <v>146</v>
      </c>
      <c r="B80" s="44" t="s">
        <v>86</v>
      </c>
      <c r="C80" s="22" t="s">
        <v>188</v>
      </c>
      <c r="D80" s="31" t="s">
        <v>189</v>
      </c>
      <c r="E80" s="20" t="s">
        <v>350</v>
      </c>
      <c r="F80" s="31"/>
      <c r="G80" s="122" t="s">
        <v>278</v>
      </c>
      <c r="H80" s="36">
        <f>322+500+200</f>
        <v>1022</v>
      </c>
      <c r="I80" s="53"/>
    </row>
    <row r="81" spans="1:9" ht="15.75">
      <c r="A81" s="70" t="s">
        <v>131</v>
      </c>
      <c r="B81" s="44" t="s">
        <v>86</v>
      </c>
      <c r="C81" s="22" t="s">
        <v>188</v>
      </c>
      <c r="D81" s="31" t="s">
        <v>189</v>
      </c>
      <c r="E81" s="20" t="s">
        <v>132</v>
      </c>
      <c r="F81" s="31"/>
      <c r="G81" s="122"/>
      <c r="H81" s="36">
        <f>H82</f>
        <v>362.3</v>
      </c>
      <c r="I81" s="53"/>
    </row>
    <row r="82" spans="1:9" ht="39">
      <c r="A82" s="69" t="s">
        <v>381</v>
      </c>
      <c r="B82" s="44" t="s">
        <v>86</v>
      </c>
      <c r="C82" s="22" t="s">
        <v>188</v>
      </c>
      <c r="D82" s="31" t="s">
        <v>189</v>
      </c>
      <c r="E82" s="20" t="s">
        <v>297</v>
      </c>
      <c r="F82" s="31"/>
      <c r="G82" s="122"/>
      <c r="H82" s="36">
        <f>H83</f>
        <v>362.3</v>
      </c>
      <c r="I82" s="53"/>
    </row>
    <row r="83" spans="1:9" ht="15.75">
      <c r="A83" s="70" t="s">
        <v>146</v>
      </c>
      <c r="B83" s="44" t="s">
        <v>86</v>
      </c>
      <c r="C83" s="22" t="s">
        <v>188</v>
      </c>
      <c r="D83" s="31" t="s">
        <v>189</v>
      </c>
      <c r="E83" s="20" t="s">
        <v>297</v>
      </c>
      <c r="F83" s="31" t="s">
        <v>278</v>
      </c>
      <c r="G83" s="122" t="s">
        <v>278</v>
      </c>
      <c r="H83" s="36">
        <f>2000-1000-1000+362.3</f>
        <v>362.3</v>
      </c>
      <c r="I83" s="53"/>
    </row>
    <row r="84" spans="1:9" s="23" customFormat="1" ht="15.75">
      <c r="A84" s="119" t="s">
        <v>23</v>
      </c>
      <c r="B84" s="108" t="s">
        <v>86</v>
      </c>
      <c r="C84" s="105" t="s">
        <v>200</v>
      </c>
      <c r="D84" s="114" t="s">
        <v>126</v>
      </c>
      <c r="E84" s="105"/>
      <c r="F84" s="103"/>
      <c r="G84" s="96"/>
      <c r="H84" s="86">
        <f>H85+H108+H131</f>
        <v>273351.9</v>
      </c>
      <c r="I84" s="86">
        <f>I85+I108+I131</f>
        <v>0</v>
      </c>
    </row>
    <row r="85" spans="1:9" s="23" customFormat="1" ht="15.75">
      <c r="A85" s="25" t="s">
        <v>70</v>
      </c>
      <c r="B85" s="43" t="s">
        <v>86</v>
      </c>
      <c r="C85" s="18" t="s">
        <v>200</v>
      </c>
      <c r="D85" s="30" t="s">
        <v>186</v>
      </c>
      <c r="E85" s="18"/>
      <c r="F85" s="7"/>
      <c r="G85" s="51"/>
      <c r="H85" s="38">
        <f>H97+H101+H93+H86</f>
        <v>126931.20000000001</v>
      </c>
      <c r="I85" s="38">
        <f>I97+I101+I93</f>
        <v>0</v>
      </c>
    </row>
    <row r="86" spans="1:9" s="23" customFormat="1" ht="39">
      <c r="A86" s="35" t="s">
        <v>386</v>
      </c>
      <c r="B86" s="43" t="s">
        <v>86</v>
      </c>
      <c r="C86" s="18" t="s">
        <v>200</v>
      </c>
      <c r="D86" s="30" t="s">
        <v>186</v>
      </c>
      <c r="E86" s="22" t="s">
        <v>387</v>
      </c>
      <c r="F86" s="29"/>
      <c r="G86" s="122"/>
      <c r="H86" s="38">
        <f>H87+H90</f>
        <v>32071.2</v>
      </c>
      <c r="I86" s="49"/>
    </row>
    <row r="87" spans="1:9" s="23" customFormat="1" ht="64.5">
      <c r="A87" s="35" t="s">
        <v>388</v>
      </c>
      <c r="B87" s="43" t="s">
        <v>86</v>
      </c>
      <c r="C87" s="18" t="s">
        <v>200</v>
      </c>
      <c r="D87" s="30" t="s">
        <v>186</v>
      </c>
      <c r="E87" s="22" t="s">
        <v>389</v>
      </c>
      <c r="F87" s="29"/>
      <c r="G87" s="122"/>
      <c r="H87" s="38">
        <f>H88</f>
        <v>15682</v>
      </c>
      <c r="I87" s="49"/>
    </row>
    <row r="88" spans="1:9" s="23" customFormat="1" ht="26.25">
      <c r="A88" s="35" t="s">
        <v>390</v>
      </c>
      <c r="B88" s="43" t="s">
        <v>86</v>
      </c>
      <c r="C88" s="18" t="s">
        <v>200</v>
      </c>
      <c r="D88" s="30" t="s">
        <v>186</v>
      </c>
      <c r="E88" s="22" t="s">
        <v>391</v>
      </c>
      <c r="F88" s="29"/>
      <c r="G88" s="122"/>
      <c r="H88" s="38">
        <f>H89</f>
        <v>15682</v>
      </c>
      <c r="I88" s="49"/>
    </row>
    <row r="89" spans="1:9" s="23" customFormat="1" ht="15.75">
      <c r="A89" s="27" t="s">
        <v>392</v>
      </c>
      <c r="B89" s="43" t="s">
        <v>86</v>
      </c>
      <c r="C89" s="18" t="s">
        <v>200</v>
      </c>
      <c r="D89" s="30" t="s">
        <v>186</v>
      </c>
      <c r="E89" s="22" t="s">
        <v>391</v>
      </c>
      <c r="F89" s="29" t="s">
        <v>393</v>
      </c>
      <c r="G89" s="122" t="s">
        <v>393</v>
      </c>
      <c r="H89" s="38">
        <v>15682</v>
      </c>
      <c r="I89" s="49"/>
    </row>
    <row r="90" spans="1:9" s="23" customFormat="1" ht="39">
      <c r="A90" s="35" t="s">
        <v>394</v>
      </c>
      <c r="B90" s="43" t="s">
        <v>86</v>
      </c>
      <c r="C90" s="18" t="s">
        <v>200</v>
      </c>
      <c r="D90" s="30" t="s">
        <v>186</v>
      </c>
      <c r="E90" s="22" t="s">
        <v>395</v>
      </c>
      <c r="F90" s="29"/>
      <c r="G90" s="122"/>
      <c r="H90" s="38">
        <f>H91</f>
        <v>16389.2</v>
      </c>
      <c r="I90" s="49"/>
    </row>
    <row r="91" spans="1:9" s="23" customFormat="1" ht="26.25">
      <c r="A91" s="35" t="s">
        <v>396</v>
      </c>
      <c r="B91" s="43" t="s">
        <v>86</v>
      </c>
      <c r="C91" s="18" t="s">
        <v>200</v>
      </c>
      <c r="D91" s="30" t="s">
        <v>186</v>
      </c>
      <c r="E91" s="22" t="s">
        <v>397</v>
      </c>
      <c r="F91" s="29"/>
      <c r="G91" s="122"/>
      <c r="H91" s="38">
        <f>H92</f>
        <v>16389.2</v>
      </c>
      <c r="I91" s="49"/>
    </row>
    <row r="92" spans="1:9" s="23" customFormat="1" ht="15.75">
      <c r="A92" s="27" t="s">
        <v>392</v>
      </c>
      <c r="B92" s="43" t="s">
        <v>86</v>
      </c>
      <c r="C92" s="18" t="s">
        <v>200</v>
      </c>
      <c r="D92" s="30" t="s">
        <v>186</v>
      </c>
      <c r="E92" s="22" t="s">
        <v>397</v>
      </c>
      <c r="F92" s="29" t="s">
        <v>393</v>
      </c>
      <c r="G92" s="122" t="s">
        <v>393</v>
      </c>
      <c r="H92" s="38">
        <f>15682+707.2</f>
        <v>16389.2</v>
      </c>
      <c r="I92" s="49"/>
    </row>
    <row r="93" spans="1:9" s="23" customFormat="1" ht="26.25">
      <c r="A93" s="35" t="s">
        <v>206</v>
      </c>
      <c r="B93" s="72" t="s">
        <v>86</v>
      </c>
      <c r="C93" s="73" t="s">
        <v>200</v>
      </c>
      <c r="D93" s="74" t="s">
        <v>186</v>
      </c>
      <c r="E93" s="22" t="s">
        <v>71</v>
      </c>
      <c r="F93" s="29"/>
      <c r="G93" s="122"/>
      <c r="H93" s="71">
        <f>H94</f>
        <v>500</v>
      </c>
      <c r="I93" s="98"/>
    </row>
    <row r="94" spans="1:9" s="23" customFormat="1" ht="51.75">
      <c r="A94" s="35" t="s">
        <v>207</v>
      </c>
      <c r="B94" s="72" t="s">
        <v>86</v>
      </c>
      <c r="C94" s="73" t="s">
        <v>200</v>
      </c>
      <c r="D94" s="74" t="s">
        <v>186</v>
      </c>
      <c r="E94" s="22" t="s">
        <v>208</v>
      </c>
      <c r="F94" s="29"/>
      <c r="G94" s="122"/>
      <c r="H94" s="71">
        <f>H95</f>
        <v>500</v>
      </c>
      <c r="I94" s="98"/>
    </row>
    <row r="95" spans="1:9" s="23" customFormat="1" ht="63.75" customHeight="1">
      <c r="A95" s="35" t="s">
        <v>364</v>
      </c>
      <c r="B95" s="72" t="s">
        <v>86</v>
      </c>
      <c r="C95" s="73" t="s">
        <v>200</v>
      </c>
      <c r="D95" s="74" t="s">
        <v>186</v>
      </c>
      <c r="E95" s="22" t="s">
        <v>243</v>
      </c>
      <c r="F95" s="29"/>
      <c r="G95" s="122"/>
      <c r="H95" s="71">
        <f>H96</f>
        <v>500</v>
      </c>
      <c r="I95" s="98"/>
    </row>
    <row r="96" spans="1:9" s="23" customFormat="1" ht="15.75">
      <c r="A96" s="35" t="s">
        <v>209</v>
      </c>
      <c r="B96" s="72" t="s">
        <v>86</v>
      </c>
      <c r="C96" s="73" t="s">
        <v>200</v>
      </c>
      <c r="D96" s="74" t="s">
        <v>186</v>
      </c>
      <c r="E96" s="22" t="s">
        <v>243</v>
      </c>
      <c r="F96" s="29"/>
      <c r="G96" s="122" t="s">
        <v>67</v>
      </c>
      <c r="H96" s="71">
        <f>3000-2500</f>
        <v>500</v>
      </c>
      <c r="I96" s="98"/>
    </row>
    <row r="97" spans="1:9" s="23" customFormat="1" ht="15.75">
      <c r="A97" s="25" t="s">
        <v>24</v>
      </c>
      <c r="B97" s="43" t="s">
        <v>86</v>
      </c>
      <c r="C97" s="18" t="s">
        <v>200</v>
      </c>
      <c r="D97" s="30" t="s">
        <v>186</v>
      </c>
      <c r="E97" s="18" t="s">
        <v>25</v>
      </c>
      <c r="F97" s="30"/>
      <c r="G97" s="87"/>
      <c r="H97" s="38">
        <f>H98</f>
        <v>92360.00000000001</v>
      </c>
      <c r="I97" s="49">
        <f>I98</f>
        <v>0</v>
      </c>
    </row>
    <row r="98" spans="1:9" s="23" customFormat="1" ht="15.75">
      <c r="A98" s="47" t="s">
        <v>201</v>
      </c>
      <c r="B98" s="43" t="s">
        <v>86</v>
      </c>
      <c r="C98" s="18" t="s">
        <v>200</v>
      </c>
      <c r="D98" s="30" t="s">
        <v>186</v>
      </c>
      <c r="E98" s="18" t="s">
        <v>202</v>
      </c>
      <c r="F98" s="30"/>
      <c r="G98" s="87"/>
      <c r="H98" s="38">
        <f>H99+H100</f>
        <v>92360.00000000001</v>
      </c>
      <c r="I98" s="49">
        <f>I99</f>
        <v>0</v>
      </c>
    </row>
    <row r="99" spans="1:9" s="23" customFormat="1" ht="15.75">
      <c r="A99" s="70" t="s">
        <v>181</v>
      </c>
      <c r="B99" s="43" t="s">
        <v>86</v>
      </c>
      <c r="C99" s="18" t="s">
        <v>200</v>
      </c>
      <c r="D99" s="30" t="s">
        <v>186</v>
      </c>
      <c r="E99" s="18" t="s">
        <v>202</v>
      </c>
      <c r="F99" s="30"/>
      <c r="G99" s="87" t="s">
        <v>87</v>
      </c>
      <c r="H99" s="38">
        <f>14679+25000+27285-10000-25000+5085.8+54971.4</f>
        <v>92021.20000000001</v>
      </c>
      <c r="I99" s="49">
        <f>25000-25000</f>
        <v>0</v>
      </c>
    </row>
    <row r="100" spans="1:9" s="23" customFormat="1" ht="15.75">
      <c r="A100" s="70" t="s">
        <v>146</v>
      </c>
      <c r="B100" s="43" t="s">
        <v>86</v>
      </c>
      <c r="C100" s="18" t="s">
        <v>200</v>
      </c>
      <c r="D100" s="30" t="s">
        <v>186</v>
      </c>
      <c r="E100" s="18" t="s">
        <v>202</v>
      </c>
      <c r="F100" s="30"/>
      <c r="G100" s="87" t="s">
        <v>278</v>
      </c>
      <c r="H100" s="38">
        <v>338.8</v>
      </c>
      <c r="I100" s="49"/>
    </row>
    <row r="101" spans="1:9" s="23" customFormat="1" ht="15.75">
      <c r="A101" s="25" t="s">
        <v>131</v>
      </c>
      <c r="B101" s="43" t="s">
        <v>86</v>
      </c>
      <c r="C101" s="18" t="s">
        <v>200</v>
      </c>
      <c r="D101" s="30" t="s">
        <v>186</v>
      </c>
      <c r="E101" s="18" t="s">
        <v>132</v>
      </c>
      <c r="F101" s="30"/>
      <c r="G101" s="87"/>
      <c r="H101" s="38">
        <f>H102+H104+H106</f>
        <v>2000</v>
      </c>
      <c r="I101" s="49"/>
    </row>
    <row r="102" spans="1:9" s="23" customFormat="1" ht="26.25">
      <c r="A102" s="47" t="s">
        <v>266</v>
      </c>
      <c r="B102" s="43" t="s">
        <v>86</v>
      </c>
      <c r="C102" s="18" t="s">
        <v>200</v>
      </c>
      <c r="D102" s="30" t="s">
        <v>186</v>
      </c>
      <c r="E102" s="18" t="s">
        <v>265</v>
      </c>
      <c r="F102" s="30"/>
      <c r="G102" s="87"/>
      <c r="H102" s="38">
        <f>H103</f>
        <v>2000</v>
      </c>
      <c r="I102" s="49"/>
    </row>
    <row r="103" spans="1:9" s="23" customFormat="1" ht="15" customHeight="1">
      <c r="A103" s="70" t="s">
        <v>146</v>
      </c>
      <c r="B103" s="43" t="s">
        <v>186</v>
      </c>
      <c r="C103" s="18" t="s">
        <v>200</v>
      </c>
      <c r="D103" s="30" t="s">
        <v>186</v>
      </c>
      <c r="E103" s="18" t="s">
        <v>265</v>
      </c>
      <c r="F103" s="30"/>
      <c r="G103" s="87" t="s">
        <v>278</v>
      </c>
      <c r="H103" s="38">
        <f>30000-10000-18000</f>
        <v>2000</v>
      </c>
      <c r="I103" s="49"/>
    </row>
    <row r="104" spans="1:9" s="23" customFormat="1" ht="26.25" hidden="1">
      <c r="A104" s="69" t="s">
        <v>383</v>
      </c>
      <c r="B104" s="43" t="s">
        <v>86</v>
      </c>
      <c r="C104" s="18" t="s">
        <v>200</v>
      </c>
      <c r="D104" s="30" t="s">
        <v>186</v>
      </c>
      <c r="E104" s="18" t="s">
        <v>356</v>
      </c>
      <c r="F104" s="30"/>
      <c r="G104" s="87"/>
      <c r="H104" s="38">
        <f>H105</f>
        <v>0</v>
      </c>
      <c r="I104" s="49"/>
    </row>
    <row r="105" spans="1:9" s="23" customFormat="1" ht="0" customHeight="1" hidden="1">
      <c r="A105" s="70" t="s">
        <v>146</v>
      </c>
      <c r="B105" s="43" t="s">
        <v>86</v>
      </c>
      <c r="C105" s="18" t="s">
        <v>200</v>
      </c>
      <c r="D105" s="30" t="s">
        <v>186</v>
      </c>
      <c r="E105" s="18" t="s">
        <v>356</v>
      </c>
      <c r="F105" s="30"/>
      <c r="G105" s="87" t="s">
        <v>278</v>
      </c>
      <c r="H105" s="38">
        <f>10950-10950</f>
        <v>0</v>
      </c>
      <c r="I105" s="49"/>
    </row>
    <row r="106" spans="1:9" s="23" customFormat="1" ht="26.25" hidden="1">
      <c r="A106" s="69" t="s">
        <v>357</v>
      </c>
      <c r="B106" s="43" t="s">
        <v>86</v>
      </c>
      <c r="C106" s="18" t="s">
        <v>200</v>
      </c>
      <c r="D106" s="30" t="s">
        <v>186</v>
      </c>
      <c r="E106" s="18" t="s">
        <v>358</v>
      </c>
      <c r="F106" s="30"/>
      <c r="G106" s="87"/>
      <c r="H106" s="38">
        <f>H107</f>
        <v>0</v>
      </c>
      <c r="I106" s="49"/>
    </row>
    <row r="107" spans="1:9" s="23" customFormat="1" ht="0" customHeight="1" hidden="1">
      <c r="A107" s="70" t="s">
        <v>146</v>
      </c>
      <c r="B107" s="43" t="s">
        <v>86</v>
      </c>
      <c r="C107" s="18" t="s">
        <v>200</v>
      </c>
      <c r="D107" s="30" t="s">
        <v>186</v>
      </c>
      <c r="E107" s="18" t="s">
        <v>358</v>
      </c>
      <c r="F107" s="30"/>
      <c r="G107" s="87" t="s">
        <v>278</v>
      </c>
      <c r="H107" s="38">
        <f>1000-1000</f>
        <v>0</v>
      </c>
      <c r="I107" s="49"/>
    </row>
    <row r="108" spans="1:9" s="23" customFormat="1" ht="12.75" customHeight="1">
      <c r="A108" s="113" t="s">
        <v>3</v>
      </c>
      <c r="B108" s="108" t="s">
        <v>86</v>
      </c>
      <c r="C108" s="105" t="s">
        <v>200</v>
      </c>
      <c r="D108" s="114" t="s">
        <v>187</v>
      </c>
      <c r="E108" s="105"/>
      <c r="F108" s="114"/>
      <c r="G108" s="123"/>
      <c r="H108" s="86">
        <f>H117+H126+H109+H121+H113</f>
        <v>48489.7</v>
      </c>
      <c r="I108" s="86">
        <f>I117+I126+I109</f>
        <v>0</v>
      </c>
    </row>
    <row r="109" spans="1:9" s="23" customFormat="1" ht="24.75" customHeight="1" hidden="1">
      <c r="A109" s="35" t="s">
        <v>206</v>
      </c>
      <c r="B109" s="42" t="s">
        <v>86</v>
      </c>
      <c r="C109" s="22" t="s">
        <v>200</v>
      </c>
      <c r="D109" s="29" t="s">
        <v>187</v>
      </c>
      <c r="E109" s="22" t="s">
        <v>71</v>
      </c>
      <c r="F109" s="29"/>
      <c r="G109" s="122"/>
      <c r="H109" s="38">
        <f>H110</f>
        <v>0</v>
      </c>
      <c r="I109" s="98"/>
    </row>
    <row r="110" spans="1:9" s="23" customFormat="1" ht="51.75" hidden="1">
      <c r="A110" s="35" t="s">
        <v>207</v>
      </c>
      <c r="B110" s="42" t="s">
        <v>86</v>
      </c>
      <c r="C110" s="22" t="s">
        <v>200</v>
      </c>
      <c r="D110" s="29" t="s">
        <v>187</v>
      </c>
      <c r="E110" s="22" t="s">
        <v>208</v>
      </c>
      <c r="F110" s="29"/>
      <c r="G110" s="122"/>
      <c r="H110" s="38">
        <f>H111</f>
        <v>0</v>
      </c>
      <c r="I110" s="98"/>
    </row>
    <row r="111" spans="1:9" s="23" customFormat="1" ht="39" hidden="1">
      <c r="A111" s="35" t="s">
        <v>300</v>
      </c>
      <c r="B111" s="42" t="s">
        <v>86</v>
      </c>
      <c r="C111" s="22" t="s">
        <v>200</v>
      </c>
      <c r="D111" s="29" t="s">
        <v>187</v>
      </c>
      <c r="E111" s="22" t="s">
        <v>243</v>
      </c>
      <c r="F111" s="29"/>
      <c r="G111" s="122"/>
      <c r="H111" s="38">
        <f>H112</f>
        <v>0</v>
      </c>
      <c r="I111" s="98"/>
    </row>
    <row r="112" spans="1:9" s="23" customFormat="1" ht="15.75" hidden="1">
      <c r="A112" s="35" t="s">
        <v>209</v>
      </c>
      <c r="B112" s="42" t="s">
        <v>86</v>
      </c>
      <c r="C112" s="22" t="s">
        <v>200</v>
      </c>
      <c r="D112" s="29" t="s">
        <v>187</v>
      </c>
      <c r="E112" s="22" t="s">
        <v>243</v>
      </c>
      <c r="F112" s="29"/>
      <c r="G112" s="122" t="s">
        <v>67</v>
      </c>
      <c r="H112" s="38">
        <f>12456-12456</f>
        <v>0</v>
      </c>
      <c r="I112" s="98"/>
    </row>
    <row r="113" spans="1:9" s="23" customFormat="1" ht="32.25" customHeight="1">
      <c r="A113" s="35" t="s">
        <v>206</v>
      </c>
      <c r="B113" s="42" t="s">
        <v>86</v>
      </c>
      <c r="C113" s="22" t="s">
        <v>200</v>
      </c>
      <c r="D113" s="29" t="s">
        <v>187</v>
      </c>
      <c r="E113" s="22" t="s">
        <v>71</v>
      </c>
      <c r="F113" s="29"/>
      <c r="G113" s="122"/>
      <c r="H113" s="38">
        <f>H114</f>
        <v>1409.5</v>
      </c>
      <c r="I113" s="98"/>
    </row>
    <row r="114" spans="1:9" s="23" customFormat="1" ht="55.5" customHeight="1">
      <c r="A114" s="35" t="s">
        <v>207</v>
      </c>
      <c r="B114" s="42" t="s">
        <v>86</v>
      </c>
      <c r="C114" s="22" t="s">
        <v>200</v>
      </c>
      <c r="D114" s="29" t="s">
        <v>187</v>
      </c>
      <c r="E114" s="22" t="s">
        <v>208</v>
      </c>
      <c r="F114" s="29"/>
      <c r="G114" s="122"/>
      <c r="H114" s="38">
        <f>H115</f>
        <v>1409.5</v>
      </c>
      <c r="I114" s="98"/>
    </row>
    <row r="115" spans="1:9" s="23" customFormat="1" ht="31.5" customHeight="1">
      <c r="A115" s="35" t="s">
        <v>440</v>
      </c>
      <c r="B115" s="42" t="s">
        <v>86</v>
      </c>
      <c r="C115" s="22" t="s">
        <v>200</v>
      </c>
      <c r="D115" s="29" t="s">
        <v>187</v>
      </c>
      <c r="E115" s="22" t="s">
        <v>243</v>
      </c>
      <c r="F115" s="29"/>
      <c r="G115" s="122"/>
      <c r="H115" s="38">
        <f>H116</f>
        <v>1409.5</v>
      </c>
      <c r="I115" s="98"/>
    </row>
    <row r="116" spans="1:9" s="23" customFormat="1" ht="15.75">
      <c r="A116" s="35" t="s">
        <v>441</v>
      </c>
      <c r="B116" s="42" t="s">
        <v>86</v>
      </c>
      <c r="C116" s="22" t="s">
        <v>200</v>
      </c>
      <c r="D116" s="29" t="s">
        <v>187</v>
      </c>
      <c r="E116" s="22" t="s">
        <v>243</v>
      </c>
      <c r="F116" s="29" t="s">
        <v>67</v>
      </c>
      <c r="G116" s="122" t="s">
        <v>67</v>
      </c>
      <c r="H116" s="38">
        <v>1409.5</v>
      </c>
      <c r="I116" s="98"/>
    </row>
    <row r="117" spans="1:9" s="23" customFormat="1" ht="15.75">
      <c r="A117" s="25" t="s">
        <v>54</v>
      </c>
      <c r="B117" s="43" t="s">
        <v>86</v>
      </c>
      <c r="C117" s="18" t="s">
        <v>200</v>
      </c>
      <c r="D117" s="30" t="s">
        <v>187</v>
      </c>
      <c r="E117" s="18" t="s">
        <v>75</v>
      </c>
      <c r="F117" s="30" t="s">
        <v>49</v>
      </c>
      <c r="G117" s="87"/>
      <c r="H117" s="38">
        <f>H118</f>
        <v>3854</v>
      </c>
      <c r="I117" s="38">
        <f>I118</f>
        <v>0</v>
      </c>
    </row>
    <row r="118" spans="1:9" ht="15.75">
      <c r="A118" s="25" t="s">
        <v>291</v>
      </c>
      <c r="B118" s="43" t="s">
        <v>86</v>
      </c>
      <c r="C118" s="18" t="s">
        <v>200</v>
      </c>
      <c r="D118" s="30" t="s">
        <v>187</v>
      </c>
      <c r="E118" s="18" t="s">
        <v>292</v>
      </c>
      <c r="F118" s="30"/>
      <c r="G118" s="87"/>
      <c r="H118" s="38">
        <f>H119</f>
        <v>3854</v>
      </c>
      <c r="I118" s="38">
        <f>I119</f>
        <v>0</v>
      </c>
    </row>
    <row r="119" spans="1:9" ht="15.75">
      <c r="A119" s="46" t="s">
        <v>372</v>
      </c>
      <c r="B119" s="43" t="s">
        <v>86</v>
      </c>
      <c r="C119" s="18" t="s">
        <v>200</v>
      </c>
      <c r="D119" s="30" t="s">
        <v>187</v>
      </c>
      <c r="E119" s="18" t="s">
        <v>373</v>
      </c>
      <c r="F119" s="30"/>
      <c r="G119" s="87"/>
      <c r="H119" s="38">
        <f>H120</f>
        <v>3854</v>
      </c>
      <c r="I119" s="49"/>
    </row>
    <row r="120" spans="1:9" ht="15.75">
      <c r="A120" s="26" t="s">
        <v>146</v>
      </c>
      <c r="B120" s="43" t="s">
        <v>86</v>
      </c>
      <c r="C120" s="18" t="s">
        <v>200</v>
      </c>
      <c r="D120" s="30" t="s">
        <v>187</v>
      </c>
      <c r="E120" s="18" t="s">
        <v>373</v>
      </c>
      <c r="F120" s="30" t="s">
        <v>278</v>
      </c>
      <c r="G120" s="87" t="s">
        <v>278</v>
      </c>
      <c r="H120" s="38">
        <f>1354+2500</f>
        <v>3854</v>
      </c>
      <c r="I120" s="49"/>
    </row>
    <row r="121" spans="1:9" ht="26.25">
      <c r="A121" s="46" t="s">
        <v>398</v>
      </c>
      <c r="B121" s="43" t="s">
        <v>86</v>
      </c>
      <c r="C121" s="18" t="s">
        <v>200</v>
      </c>
      <c r="D121" s="30" t="s">
        <v>187</v>
      </c>
      <c r="E121" s="18" t="s">
        <v>399</v>
      </c>
      <c r="F121" s="30"/>
      <c r="G121" s="87"/>
      <c r="H121" s="38">
        <f>H122+H124</f>
        <v>23811.5</v>
      </c>
      <c r="I121" s="49"/>
    </row>
    <row r="122" spans="1:9" ht="39">
      <c r="A122" s="46" t="s">
        <v>401</v>
      </c>
      <c r="B122" s="43" t="s">
        <v>86</v>
      </c>
      <c r="C122" s="18" t="s">
        <v>200</v>
      </c>
      <c r="D122" s="30" t="s">
        <v>187</v>
      </c>
      <c r="E122" s="18" t="s">
        <v>400</v>
      </c>
      <c r="F122" s="30"/>
      <c r="G122" s="87"/>
      <c r="H122" s="38">
        <f>H123</f>
        <v>2100</v>
      </c>
      <c r="I122" s="49"/>
    </row>
    <row r="123" spans="1:9" ht="15.75">
      <c r="A123" s="26" t="s">
        <v>209</v>
      </c>
      <c r="B123" s="43" t="s">
        <v>86</v>
      </c>
      <c r="C123" s="18" t="s">
        <v>200</v>
      </c>
      <c r="D123" s="30" t="s">
        <v>187</v>
      </c>
      <c r="E123" s="18" t="s">
        <v>400</v>
      </c>
      <c r="F123" s="30" t="s">
        <v>67</v>
      </c>
      <c r="G123" s="87" t="s">
        <v>67</v>
      </c>
      <c r="H123" s="38">
        <v>2100</v>
      </c>
      <c r="I123" s="49"/>
    </row>
    <row r="124" spans="1:9" ht="39">
      <c r="A124" s="46" t="s">
        <v>402</v>
      </c>
      <c r="B124" s="43" t="s">
        <v>86</v>
      </c>
      <c r="C124" s="18" t="s">
        <v>200</v>
      </c>
      <c r="D124" s="30" t="s">
        <v>187</v>
      </c>
      <c r="E124" s="18" t="s">
        <v>400</v>
      </c>
      <c r="F124" s="30"/>
      <c r="G124" s="87"/>
      <c r="H124" s="38">
        <f>H125</f>
        <v>21711.5</v>
      </c>
      <c r="I124" s="49"/>
    </row>
    <row r="125" spans="1:9" ht="15.75">
      <c r="A125" s="26" t="s">
        <v>209</v>
      </c>
      <c r="B125" s="43" t="s">
        <v>86</v>
      </c>
      <c r="C125" s="18" t="s">
        <v>200</v>
      </c>
      <c r="D125" s="30" t="s">
        <v>187</v>
      </c>
      <c r="E125" s="18" t="s">
        <v>400</v>
      </c>
      <c r="F125" s="30" t="s">
        <v>67</v>
      </c>
      <c r="G125" s="87" t="s">
        <v>67</v>
      </c>
      <c r="H125" s="38">
        <v>21711.5</v>
      </c>
      <c r="I125" s="49"/>
    </row>
    <row r="126" spans="1:9" ht="15.75">
      <c r="A126" s="26" t="s">
        <v>131</v>
      </c>
      <c r="B126" s="43" t="s">
        <v>86</v>
      </c>
      <c r="C126" s="18" t="s">
        <v>200</v>
      </c>
      <c r="D126" s="30" t="s">
        <v>187</v>
      </c>
      <c r="E126" s="18" t="s">
        <v>132</v>
      </c>
      <c r="F126" s="30"/>
      <c r="G126" s="87"/>
      <c r="H126" s="38">
        <f>H129+H127</f>
        <v>19414.7</v>
      </c>
      <c r="I126" s="49"/>
    </row>
    <row r="127" spans="1:9" ht="26.25">
      <c r="A127" s="47" t="s">
        <v>379</v>
      </c>
      <c r="B127" s="43" t="s">
        <v>86</v>
      </c>
      <c r="C127" s="18" t="s">
        <v>200</v>
      </c>
      <c r="D127" s="30" t="s">
        <v>187</v>
      </c>
      <c r="E127" s="20" t="s">
        <v>264</v>
      </c>
      <c r="F127" s="7"/>
      <c r="G127" s="51"/>
      <c r="H127" s="38">
        <f>H128</f>
        <v>19414.7</v>
      </c>
      <c r="I127" s="49"/>
    </row>
    <row r="128" spans="1:9" ht="15" customHeight="1">
      <c r="A128" s="35" t="s">
        <v>209</v>
      </c>
      <c r="B128" s="43" t="s">
        <v>86</v>
      </c>
      <c r="C128" s="18" t="s">
        <v>200</v>
      </c>
      <c r="D128" s="30" t="s">
        <v>187</v>
      </c>
      <c r="E128" s="20" t="s">
        <v>264</v>
      </c>
      <c r="F128" s="7"/>
      <c r="G128" s="51" t="s">
        <v>67</v>
      </c>
      <c r="H128" s="38">
        <f>40000-35000+1958.7+12456</f>
        <v>19414.7</v>
      </c>
      <c r="I128" s="49"/>
    </row>
    <row r="129" spans="1:9" ht="0.75" customHeight="1" hidden="1">
      <c r="A129" s="369" t="s">
        <v>370</v>
      </c>
      <c r="B129" s="30" t="s">
        <v>86</v>
      </c>
      <c r="C129" s="18" t="s">
        <v>200</v>
      </c>
      <c r="D129" s="30" t="s">
        <v>187</v>
      </c>
      <c r="E129" s="18" t="s">
        <v>293</v>
      </c>
      <c r="F129" s="30"/>
      <c r="G129" s="87"/>
      <c r="H129" s="38">
        <f>H130</f>
        <v>0</v>
      </c>
      <c r="I129" s="49"/>
    </row>
    <row r="130" spans="1:9" ht="15.75" hidden="1">
      <c r="A130" s="35" t="s">
        <v>209</v>
      </c>
      <c r="B130" s="43" t="s">
        <v>86</v>
      </c>
      <c r="C130" s="18" t="s">
        <v>200</v>
      </c>
      <c r="D130" s="30" t="s">
        <v>187</v>
      </c>
      <c r="E130" s="18" t="s">
        <v>293</v>
      </c>
      <c r="F130" s="30" t="s">
        <v>278</v>
      </c>
      <c r="G130" s="87" t="s">
        <v>67</v>
      </c>
      <c r="H130" s="38">
        <f>820-820</f>
        <v>0</v>
      </c>
      <c r="I130" s="49"/>
    </row>
    <row r="131" spans="1:9" ht="18.75" customHeight="1">
      <c r="A131" s="382" t="s">
        <v>134</v>
      </c>
      <c r="B131" s="108" t="s">
        <v>86</v>
      </c>
      <c r="C131" s="105" t="s">
        <v>200</v>
      </c>
      <c r="D131" s="114" t="s">
        <v>191</v>
      </c>
      <c r="E131" s="105"/>
      <c r="F131" s="114"/>
      <c r="G131" s="132"/>
      <c r="H131" s="86">
        <f>H144+H155+H132+H136</f>
        <v>97930.99999999999</v>
      </c>
      <c r="I131" s="86">
        <f>I144</f>
        <v>0</v>
      </c>
    </row>
    <row r="132" spans="1:9" ht="29.25" customHeight="1">
      <c r="A132" s="35" t="s">
        <v>206</v>
      </c>
      <c r="B132" s="43" t="s">
        <v>86</v>
      </c>
      <c r="C132" s="22" t="s">
        <v>200</v>
      </c>
      <c r="D132" s="29" t="s">
        <v>191</v>
      </c>
      <c r="E132" s="22" t="s">
        <v>71</v>
      </c>
      <c r="F132" s="29"/>
      <c r="G132" s="122"/>
      <c r="H132" s="36">
        <f>H133</f>
        <v>2000</v>
      </c>
      <c r="I132" s="237"/>
    </row>
    <row r="133" spans="1:9" ht="56.25" customHeight="1">
      <c r="A133" s="35" t="s">
        <v>207</v>
      </c>
      <c r="B133" s="43" t="s">
        <v>86</v>
      </c>
      <c r="C133" s="22" t="s">
        <v>200</v>
      </c>
      <c r="D133" s="29" t="s">
        <v>191</v>
      </c>
      <c r="E133" s="22" t="s">
        <v>208</v>
      </c>
      <c r="F133" s="29"/>
      <c r="G133" s="122"/>
      <c r="H133" s="36">
        <f>H134</f>
        <v>2000</v>
      </c>
      <c r="I133" s="237"/>
    </row>
    <row r="134" spans="1:9" ht="43.5" customHeight="1">
      <c r="A134" s="35" t="s">
        <v>454</v>
      </c>
      <c r="B134" s="43" t="s">
        <v>86</v>
      </c>
      <c r="C134" s="22" t="s">
        <v>200</v>
      </c>
      <c r="D134" s="29" t="s">
        <v>191</v>
      </c>
      <c r="E134" s="22" t="s">
        <v>243</v>
      </c>
      <c r="F134" s="29"/>
      <c r="G134" s="122"/>
      <c r="H134" s="36">
        <f>H135</f>
        <v>2000</v>
      </c>
      <c r="I134" s="237"/>
    </row>
    <row r="135" spans="1:9" ht="16.5" customHeight="1">
      <c r="A135" s="35" t="s">
        <v>209</v>
      </c>
      <c r="B135" s="42" t="s">
        <v>86</v>
      </c>
      <c r="C135" s="22" t="s">
        <v>200</v>
      </c>
      <c r="D135" s="29" t="s">
        <v>191</v>
      </c>
      <c r="E135" s="22" t="s">
        <v>243</v>
      </c>
      <c r="F135" s="29"/>
      <c r="G135" s="122" t="s">
        <v>67</v>
      </c>
      <c r="H135" s="36">
        <f>4500+500-3000</f>
        <v>2000</v>
      </c>
      <c r="I135" s="237"/>
    </row>
    <row r="136" spans="1:9" ht="16.5" customHeight="1">
      <c r="A136" s="35" t="s">
        <v>54</v>
      </c>
      <c r="B136" s="42" t="s">
        <v>86</v>
      </c>
      <c r="C136" s="22" t="s">
        <v>200</v>
      </c>
      <c r="D136" s="29" t="s">
        <v>191</v>
      </c>
      <c r="E136" s="269" t="s">
        <v>75</v>
      </c>
      <c r="F136" s="269"/>
      <c r="G136" s="308"/>
      <c r="H136" s="309">
        <f>H137</f>
        <v>12271.7</v>
      </c>
      <c r="I136" s="237"/>
    </row>
    <row r="137" spans="1:9" ht="16.5" customHeight="1">
      <c r="A137" s="35" t="s">
        <v>442</v>
      </c>
      <c r="B137" s="42" t="s">
        <v>86</v>
      </c>
      <c r="C137" s="22" t="s">
        <v>200</v>
      </c>
      <c r="D137" s="29" t="s">
        <v>191</v>
      </c>
      <c r="E137" s="269" t="s">
        <v>443</v>
      </c>
      <c r="F137" s="269"/>
      <c r="G137" s="308"/>
      <c r="H137" s="309">
        <f>H138+H140+H142</f>
        <v>12271.7</v>
      </c>
      <c r="I137" s="237"/>
    </row>
    <row r="138" spans="1:9" ht="16.5" customHeight="1">
      <c r="A138" s="35" t="s">
        <v>444</v>
      </c>
      <c r="B138" s="42" t="s">
        <v>86</v>
      </c>
      <c r="C138" s="22" t="s">
        <v>200</v>
      </c>
      <c r="D138" s="29" t="s">
        <v>191</v>
      </c>
      <c r="E138" s="269" t="s">
        <v>445</v>
      </c>
      <c r="F138" s="269"/>
      <c r="G138" s="308"/>
      <c r="H138" s="309">
        <f>H139</f>
        <v>1193.9</v>
      </c>
      <c r="I138" s="237"/>
    </row>
    <row r="139" spans="1:9" ht="16.5" customHeight="1">
      <c r="A139" s="35" t="s">
        <v>181</v>
      </c>
      <c r="B139" s="42" t="s">
        <v>86</v>
      </c>
      <c r="C139" s="22" t="s">
        <v>200</v>
      </c>
      <c r="D139" s="29" t="s">
        <v>191</v>
      </c>
      <c r="E139" s="269" t="s">
        <v>445</v>
      </c>
      <c r="F139" s="269" t="s">
        <v>87</v>
      </c>
      <c r="G139" s="308" t="s">
        <v>87</v>
      </c>
      <c r="H139" s="309">
        <v>1193.9</v>
      </c>
      <c r="I139" s="237"/>
    </row>
    <row r="140" spans="1:9" ht="16.5" customHeight="1">
      <c r="A140" s="35" t="s">
        <v>137</v>
      </c>
      <c r="B140" s="42" t="s">
        <v>86</v>
      </c>
      <c r="C140" s="22" t="s">
        <v>200</v>
      </c>
      <c r="D140" s="29" t="s">
        <v>191</v>
      </c>
      <c r="E140" s="269" t="s">
        <v>446</v>
      </c>
      <c r="F140" s="269"/>
      <c r="G140" s="308"/>
      <c r="H140" s="309">
        <f>H141</f>
        <v>1082.1</v>
      </c>
      <c r="I140" s="237"/>
    </row>
    <row r="141" spans="1:9" ht="16.5" customHeight="1">
      <c r="A141" s="35" t="s">
        <v>181</v>
      </c>
      <c r="B141" s="42" t="s">
        <v>86</v>
      </c>
      <c r="C141" s="22" t="s">
        <v>200</v>
      </c>
      <c r="D141" s="29" t="s">
        <v>191</v>
      </c>
      <c r="E141" s="269" t="s">
        <v>446</v>
      </c>
      <c r="F141" s="269" t="s">
        <v>87</v>
      </c>
      <c r="G141" s="308" t="s">
        <v>87</v>
      </c>
      <c r="H141" s="309">
        <v>1082.1</v>
      </c>
      <c r="I141" s="237"/>
    </row>
    <row r="142" spans="1:9" ht="16.5" customHeight="1">
      <c r="A142" s="35" t="s">
        <v>447</v>
      </c>
      <c r="B142" s="42" t="s">
        <v>86</v>
      </c>
      <c r="C142" s="22" t="s">
        <v>200</v>
      </c>
      <c r="D142" s="29" t="s">
        <v>191</v>
      </c>
      <c r="E142" s="269" t="s">
        <v>448</v>
      </c>
      <c r="F142" s="269"/>
      <c r="G142" s="308"/>
      <c r="H142" s="309">
        <f>H143</f>
        <v>9995.7</v>
      </c>
      <c r="I142" s="237"/>
    </row>
    <row r="143" spans="1:9" ht="16.5" customHeight="1">
      <c r="A143" s="35" t="s">
        <v>181</v>
      </c>
      <c r="B143" s="42" t="s">
        <v>86</v>
      </c>
      <c r="C143" s="22" t="s">
        <v>200</v>
      </c>
      <c r="D143" s="29" t="s">
        <v>191</v>
      </c>
      <c r="E143" s="269" t="s">
        <v>448</v>
      </c>
      <c r="F143" s="269" t="s">
        <v>87</v>
      </c>
      <c r="G143" s="308" t="s">
        <v>87</v>
      </c>
      <c r="H143" s="309">
        <v>9995.7</v>
      </c>
      <c r="I143" s="237"/>
    </row>
    <row r="144" spans="1:9" ht="15.75">
      <c r="A144" s="25" t="s">
        <v>134</v>
      </c>
      <c r="B144" s="43" t="s">
        <v>86</v>
      </c>
      <c r="C144" s="18" t="s">
        <v>200</v>
      </c>
      <c r="D144" s="30" t="s">
        <v>191</v>
      </c>
      <c r="E144" s="20" t="s">
        <v>294</v>
      </c>
      <c r="F144" s="31"/>
      <c r="G144" s="89"/>
      <c r="H144" s="36">
        <f>H145+H147+H149+H151+H153</f>
        <v>79748.4</v>
      </c>
      <c r="I144" s="60">
        <f>I145</f>
        <v>0</v>
      </c>
    </row>
    <row r="145" spans="1:9" s="23" customFormat="1" ht="15.75">
      <c r="A145" s="25" t="s">
        <v>325</v>
      </c>
      <c r="B145" s="43" t="s">
        <v>86</v>
      </c>
      <c r="C145" s="18" t="s">
        <v>200</v>
      </c>
      <c r="D145" s="30" t="s">
        <v>191</v>
      </c>
      <c r="E145" s="20" t="s">
        <v>326</v>
      </c>
      <c r="F145" s="7"/>
      <c r="G145" s="51"/>
      <c r="H145" s="38">
        <f>H146</f>
        <v>18881.9</v>
      </c>
      <c r="I145" s="38">
        <f>I146</f>
        <v>0</v>
      </c>
    </row>
    <row r="146" spans="1:9" ht="15.75">
      <c r="A146" s="27" t="s">
        <v>146</v>
      </c>
      <c r="B146" s="43" t="s">
        <v>86</v>
      </c>
      <c r="C146" s="18" t="s">
        <v>200</v>
      </c>
      <c r="D146" s="30" t="s">
        <v>191</v>
      </c>
      <c r="E146" s="20" t="s">
        <v>326</v>
      </c>
      <c r="F146" s="7"/>
      <c r="G146" s="51" t="s">
        <v>278</v>
      </c>
      <c r="H146" s="38">
        <f>15224+10000-7000+657.9</f>
        <v>18881.9</v>
      </c>
      <c r="I146" s="50"/>
    </row>
    <row r="147" spans="1:9" ht="39">
      <c r="A147" s="369" t="s">
        <v>295</v>
      </c>
      <c r="B147" s="30" t="s">
        <v>86</v>
      </c>
      <c r="C147" s="18" t="s">
        <v>200</v>
      </c>
      <c r="D147" s="30" t="s">
        <v>191</v>
      </c>
      <c r="E147" s="20" t="s">
        <v>296</v>
      </c>
      <c r="F147" s="7"/>
      <c r="G147" s="51"/>
      <c r="H147" s="38">
        <f>H148</f>
        <v>7970.5</v>
      </c>
      <c r="I147" s="38">
        <f>I148</f>
        <v>0</v>
      </c>
    </row>
    <row r="148" spans="1:9" ht="15.75">
      <c r="A148" s="27" t="s">
        <v>146</v>
      </c>
      <c r="B148" s="43" t="s">
        <v>86</v>
      </c>
      <c r="C148" s="18" t="s">
        <v>200</v>
      </c>
      <c r="D148" s="30" t="s">
        <v>191</v>
      </c>
      <c r="E148" s="20" t="s">
        <v>296</v>
      </c>
      <c r="F148" s="7"/>
      <c r="G148" s="51" t="s">
        <v>278</v>
      </c>
      <c r="H148" s="38">
        <f>10000-8000+1000-1000+5970.5</f>
        <v>7970.5</v>
      </c>
      <c r="I148" s="50"/>
    </row>
    <row r="149" spans="1:9" ht="15.75">
      <c r="A149" s="25" t="s">
        <v>137</v>
      </c>
      <c r="B149" s="43" t="s">
        <v>86</v>
      </c>
      <c r="C149" s="18" t="s">
        <v>200</v>
      </c>
      <c r="D149" s="30" t="s">
        <v>191</v>
      </c>
      <c r="E149" s="20" t="s">
        <v>327</v>
      </c>
      <c r="F149" s="7"/>
      <c r="G149" s="51"/>
      <c r="H149" s="38">
        <f>H150</f>
        <v>11253</v>
      </c>
      <c r="I149" s="38">
        <f>I150</f>
        <v>0</v>
      </c>
    </row>
    <row r="150" spans="1:9" ht="15.75">
      <c r="A150" s="27" t="s">
        <v>146</v>
      </c>
      <c r="B150" s="43" t="s">
        <v>86</v>
      </c>
      <c r="C150" s="18" t="s">
        <v>200</v>
      </c>
      <c r="D150" s="30" t="s">
        <v>191</v>
      </c>
      <c r="E150" s="20" t="s">
        <v>327</v>
      </c>
      <c r="F150" s="7"/>
      <c r="G150" s="51" t="s">
        <v>278</v>
      </c>
      <c r="H150" s="38">
        <f>12061-808</f>
        <v>11253</v>
      </c>
      <c r="I150" s="50"/>
    </row>
    <row r="151" spans="1:9" ht="15.75">
      <c r="A151" s="25" t="s">
        <v>145</v>
      </c>
      <c r="B151" s="43" t="s">
        <v>86</v>
      </c>
      <c r="C151" s="18" t="s">
        <v>200</v>
      </c>
      <c r="D151" s="30" t="s">
        <v>191</v>
      </c>
      <c r="E151" s="20" t="s">
        <v>328</v>
      </c>
      <c r="F151" s="7"/>
      <c r="G151" s="51"/>
      <c r="H151" s="38">
        <f>H152</f>
        <v>4638</v>
      </c>
      <c r="I151" s="38">
        <f>I152</f>
        <v>0</v>
      </c>
    </row>
    <row r="152" spans="1:9" ht="15.75">
      <c r="A152" s="27" t="s">
        <v>146</v>
      </c>
      <c r="B152" s="43" t="s">
        <v>86</v>
      </c>
      <c r="C152" s="18" t="s">
        <v>200</v>
      </c>
      <c r="D152" s="30" t="s">
        <v>191</v>
      </c>
      <c r="E152" s="20" t="s">
        <v>328</v>
      </c>
      <c r="F152" s="7"/>
      <c r="G152" s="51" t="s">
        <v>278</v>
      </c>
      <c r="H152" s="38">
        <f>17028-1568-4683-9000+2861</f>
        <v>4638</v>
      </c>
      <c r="I152" s="50"/>
    </row>
    <row r="153" spans="1:9" ht="15.75">
      <c r="A153" s="25" t="s">
        <v>329</v>
      </c>
      <c r="B153" s="43" t="s">
        <v>86</v>
      </c>
      <c r="C153" s="18" t="s">
        <v>200</v>
      </c>
      <c r="D153" s="30" t="s">
        <v>191</v>
      </c>
      <c r="E153" s="20" t="s">
        <v>330</v>
      </c>
      <c r="F153" s="7"/>
      <c r="G153" s="57"/>
      <c r="H153" s="38">
        <f>H154</f>
        <v>37005</v>
      </c>
      <c r="I153" s="49">
        <f>I154</f>
        <v>0</v>
      </c>
    </row>
    <row r="154" spans="1:9" ht="15.75">
      <c r="A154" s="27" t="s">
        <v>146</v>
      </c>
      <c r="B154" s="43" t="s">
        <v>86</v>
      </c>
      <c r="C154" s="18" t="s">
        <v>200</v>
      </c>
      <c r="D154" s="30" t="s">
        <v>191</v>
      </c>
      <c r="E154" s="20" t="s">
        <v>330</v>
      </c>
      <c r="F154" s="7"/>
      <c r="G154" s="51" t="s">
        <v>278</v>
      </c>
      <c r="H154" s="38">
        <f>10000+25000+21442-3000-11000-1437-4000</f>
        <v>37005</v>
      </c>
      <c r="I154" s="38"/>
    </row>
    <row r="155" spans="1:9" ht="15.75">
      <c r="A155" s="25" t="s">
        <v>131</v>
      </c>
      <c r="B155" s="43" t="s">
        <v>86</v>
      </c>
      <c r="C155" s="18" t="s">
        <v>200</v>
      </c>
      <c r="D155" s="30" t="s">
        <v>191</v>
      </c>
      <c r="E155" s="20" t="s">
        <v>132</v>
      </c>
      <c r="F155" s="7"/>
      <c r="G155" s="51"/>
      <c r="H155" s="38">
        <f>H156</f>
        <v>3910.8999999999996</v>
      </c>
      <c r="I155" s="50"/>
    </row>
    <row r="156" spans="1:9" ht="39">
      <c r="A156" s="47" t="s">
        <v>380</v>
      </c>
      <c r="B156" s="43" t="s">
        <v>86</v>
      </c>
      <c r="C156" s="18" t="s">
        <v>200</v>
      </c>
      <c r="D156" s="30" t="s">
        <v>191</v>
      </c>
      <c r="E156" s="20" t="s">
        <v>287</v>
      </c>
      <c r="F156" s="7"/>
      <c r="G156" s="51"/>
      <c r="H156" s="38">
        <f>H157</f>
        <v>3910.8999999999996</v>
      </c>
      <c r="I156" s="38">
        <f>I157</f>
        <v>0</v>
      </c>
    </row>
    <row r="157" spans="1:9" ht="15.75">
      <c r="A157" s="27" t="s">
        <v>146</v>
      </c>
      <c r="B157" s="43" t="s">
        <v>86</v>
      </c>
      <c r="C157" s="18" t="s">
        <v>200</v>
      </c>
      <c r="D157" s="30" t="s">
        <v>191</v>
      </c>
      <c r="E157" s="20" t="s">
        <v>287</v>
      </c>
      <c r="F157" s="7"/>
      <c r="G157" s="51" t="s">
        <v>278</v>
      </c>
      <c r="H157" s="38">
        <f>4180-4180+69.2+3841.7</f>
        <v>3910.8999999999996</v>
      </c>
      <c r="I157" s="50"/>
    </row>
    <row r="158" spans="1:9" ht="15.75">
      <c r="A158" s="222" t="s">
        <v>43</v>
      </c>
      <c r="B158" s="109" t="s">
        <v>86</v>
      </c>
      <c r="C158" s="104" t="s">
        <v>205</v>
      </c>
      <c r="D158" s="114" t="s">
        <v>126</v>
      </c>
      <c r="E158" s="105"/>
      <c r="F158" s="103"/>
      <c r="G158" s="96"/>
      <c r="H158" s="86">
        <f aca="true" t="shared" si="4" ref="H158:I160">H159</f>
        <v>1071.1</v>
      </c>
      <c r="I158" s="98">
        <f t="shared" si="4"/>
        <v>0</v>
      </c>
    </row>
    <row r="159" spans="1:9" ht="15.75">
      <c r="A159" s="27" t="s">
        <v>44</v>
      </c>
      <c r="B159" s="42" t="s">
        <v>86</v>
      </c>
      <c r="C159" s="22" t="s">
        <v>205</v>
      </c>
      <c r="D159" s="29" t="s">
        <v>200</v>
      </c>
      <c r="E159" s="22"/>
      <c r="F159" s="29"/>
      <c r="G159" s="95"/>
      <c r="H159" s="37">
        <f t="shared" si="4"/>
        <v>1071.1</v>
      </c>
      <c r="I159" s="85">
        <f t="shared" si="4"/>
        <v>0</v>
      </c>
    </row>
    <row r="160" spans="1:9" ht="15.75">
      <c r="A160" s="25" t="s">
        <v>131</v>
      </c>
      <c r="B160" s="43" t="s">
        <v>86</v>
      </c>
      <c r="C160" s="18" t="s">
        <v>205</v>
      </c>
      <c r="D160" s="30" t="s">
        <v>200</v>
      </c>
      <c r="E160" s="18" t="s">
        <v>132</v>
      </c>
      <c r="F160" s="30"/>
      <c r="G160" s="87"/>
      <c r="H160" s="37">
        <f t="shared" si="4"/>
        <v>1071.1</v>
      </c>
      <c r="I160" s="85">
        <f t="shared" si="4"/>
        <v>0</v>
      </c>
    </row>
    <row r="161" spans="1:9" ht="26.25">
      <c r="A161" s="47" t="s">
        <v>376</v>
      </c>
      <c r="B161" s="44" t="s">
        <v>86</v>
      </c>
      <c r="C161" s="20" t="s">
        <v>205</v>
      </c>
      <c r="D161" s="31" t="s">
        <v>200</v>
      </c>
      <c r="E161" s="20" t="s">
        <v>262</v>
      </c>
      <c r="F161" s="31"/>
      <c r="G161" s="89"/>
      <c r="H161" s="36">
        <f>H162</f>
        <v>1071.1</v>
      </c>
      <c r="I161" s="60">
        <f>I162</f>
        <v>0</v>
      </c>
    </row>
    <row r="162" spans="1:9" ht="15.75">
      <c r="A162" s="27" t="s">
        <v>347</v>
      </c>
      <c r="B162" s="44" t="s">
        <v>86</v>
      </c>
      <c r="C162" s="20" t="s">
        <v>205</v>
      </c>
      <c r="D162" s="31" t="s">
        <v>200</v>
      </c>
      <c r="E162" s="20" t="s">
        <v>262</v>
      </c>
      <c r="F162" s="31"/>
      <c r="G162" s="51" t="s">
        <v>4</v>
      </c>
      <c r="H162" s="36">
        <f>2475+223-235-2265+873.1</f>
        <v>1071.1</v>
      </c>
      <c r="I162" s="53"/>
    </row>
    <row r="163" spans="1:9" ht="21.75" customHeight="1">
      <c r="A163" s="119" t="s">
        <v>6</v>
      </c>
      <c r="B163" s="108" t="s">
        <v>86</v>
      </c>
      <c r="C163" s="105" t="s">
        <v>194</v>
      </c>
      <c r="D163" s="114" t="s">
        <v>126</v>
      </c>
      <c r="E163" s="105"/>
      <c r="F163" s="103" t="s">
        <v>49</v>
      </c>
      <c r="G163" s="96"/>
      <c r="H163" s="86">
        <f>H164+H180</f>
        <v>24765.4</v>
      </c>
      <c r="I163" s="86">
        <f>I164</f>
        <v>0</v>
      </c>
    </row>
    <row r="164" spans="1:9" ht="15.75">
      <c r="A164" s="113" t="s">
        <v>7</v>
      </c>
      <c r="B164" s="108" t="s">
        <v>86</v>
      </c>
      <c r="C164" s="17" t="s">
        <v>194</v>
      </c>
      <c r="D164" s="32" t="s">
        <v>186</v>
      </c>
      <c r="E164" s="17"/>
      <c r="F164" s="32"/>
      <c r="G164" s="121"/>
      <c r="H164" s="90">
        <f>H165+H169+H173+H177</f>
        <v>23271.2</v>
      </c>
      <c r="I164" s="90">
        <f>I165+I169</f>
        <v>0</v>
      </c>
    </row>
    <row r="165" spans="1:9" ht="26.25">
      <c r="A165" s="35" t="s">
        <v>206</v>
      </c>
      <c r="B165" s="43" t="s">
        <v>86</v>
      </c>
      <c r="C165" s="22" t="s">
        <v>194</v>
      </c>
      <c r="D165" s="29" t="s">
        <v>186</v>
      </c>
      <c r="E165" s="22" t="s">
        <v>71</v>
      </c>
      <c r="F165" s="29"/>
      <c r="G165" s="122"/>
      <c r="H165" s="37">
        <f aca="true" t="shared" si="5" ref="H165:I167">H166</f>
        <v>8000</v>
      </c>
      <c r="I165" s="85">
        <f t="shared" si="5"/>
        <v>0</v>
      </c>
    </row>
    <row r="166" spans="1:9" s="23" customFormat="1" ht="51.75">
      <c r="A166" s="35" t="s">
        <v>207</v>
      </c>
      <c r="B166" s="43" t="s">
        <v>86</v>
      </c>
      <c r="C166" s="22" t="s">
        <v>194</v>
      </c>
      <c r="D166" s="29" t="s">
        <v>186</v>
      </c>
      <c r="E166" s="22" t="s">
        <v>208</v>
      </c>
      <c r="F166" s="29"/>
      <c r="G166" s="122"/>
      <c r="H166" s="37">
        <f t="shared" si="5"/>
        <v>8000</v>
      </c>
      <c r="I166" s="85">
        <f t="shared" si="5"/>
        <v>0</v>
      </c>
    </row>
    <row r="167" spans="1:9" ht="64.5">
      <c r="A167" s="35" t="s">
        <v>363</v>
      </c>
      <c r="B167" s="43" t="s">
        <v>86</v>
      </c>
      <c r="C167" s="22" t="s">
        <v>194</v>
      </c>
      <c r="D167" s="29" t="s">
        <v>186</v>
      </c>
      <c r="E167" s="22" t="s">
        <v>243</v>
      </c>
      <c r="F167" s="29"/>
      <c r="G167" s="122"/>
      <c r="H167" s="37">
        <f t="shared" si="5"/>
        <v>8000</v>
      </c>
      <c r="I167" s="85">
        <f t="shared" si="5"/>
        <v>0</v>
      </c>
    </row>
    <row r="168" spans="1:9" ht="15.75">
      <c r="A168" s="35" t="s">
        <v>209</v>
      </c>
      <c r="B168" s="42" t="s">
        <v>86</v>
      </c>
      <c r="C168" s="22" t="s">
        <v>194</v>
      </c>
      <c r="D168" s="29" t="s">
        <v>186</v>
      </c>
      <c r="E168" s="22" t="s">
        <v>243</v>
      </c>
      <c r="F168" s="29"/>
      <c r="G168" s="122" t="s">
        <v>67</v>
      </c>
      <c r="H168" s="37">
        <f>38000+38000-38000-30000</f>
        <v>8000</v>
      </c>
      <c r="I168" s="85">
        <f>38000-38000</f>
        <v>0</v>
      </c>
    </row>
    <row r="169" spans="1:9" ht="26.25">
      <c r="A169" s="35" t="s">
        <v>206</v>
      </c>
      <c r="B169" s="42" t="s">
        <v>86</v>
      </c>
      <c r="C169" s="22" t="s">
        <v>194</v>
      </c>
      <c r="D169" s="29" t="s">
        <v>186</v>
      </c>
      <c r="E169" s="22" t="s">
        <v>71</v>
      </c>
      <c r="F169" s="29"/>
      <c r="G169" s="112"/>
      <c r="H169" s="38">
        <f aca="true" t="shared" si="6" ref="H169:I171">H170</f>
        <v>500</v>
      </c>
      <c r="I169" s="49">
        <f t="shared" si="6"/>
        <v>0</v>
      </c>
    </row>
    <row r="170" spans="1:9" ht="26.25">
      <c r="A170" s="35" t="s">
        <v>276</v>
      </c>
      <c r="B170" s="42" t="s">
        <v>86</v>
      </c>
      <c r="C170" s="22" t="s">
        <v>194</v>
      </c>
      <c r="D170" s="29" t="s">
        <v>186</v>
      </c>
      <c r="E170" s="22" t="s">
        <v>208</v>
      </c>
      <c r="F170" s="29"/>
      <c r="G170" s="112"/>
      <c r="H170" s="38">
        <f t="shared" si="6"/>
        <v>500</v>
      </c>
      <c r="I170" s="49">
        <f t="shared" si="6"/>
        <v>0</v>
      </c>
    </row>
    <row r="171" spans="1:9" ht="69.75" customHeight="1">
      <c r="A171" s="35" t="s">
        <v>351</v>
      </c>
      <c r="B171" s="43" t="s">
        <v>86</v>
      </c>
      <c r="C171" s="22" t="s">
        <v>194</v>
      </c>
      <c r="D171" s="29" t="s">
        <v>186</v>
      </c>
      <c r="E171" s="22" t="s">
        <v>243</v>
      </c>
      <c r="F171" s="29"/>
      <c r="G171" s="112"/>
      <c r="H171" s="38">
        <f t="shared" si="6"/>
        <v>500</v>
      </c>
      <c r="I171" s="49">
        <f t="shared" si="6"/>
        <v>0</v>
      </c>
    </row>
    <row r="172" spans="1:9" ht="23.25" customHeight="1">
      <c r="A172" s="35" t="s">
        <v>209</v>
      </c>
      <c r="B172" s="42" t="s">
        <v>86</v>
      </c>
      <c r="C172" s="22" t="s">
        <v>194</v>
      </c>
      <c r="D172" s="29" t="s">
        <v>186</v>
      </c>
      <c r="E172" s="22" t="s">
        <v>243</v>
      </c>
      <c r="F172" s="29" t="s">
        <v>67</v>
      </c>
      <c r="G172" s="112" t="s">
        <v>67</v>
      </c>
      <c r="H172" s="38">
        <v>500</v>
      </c>
      <c r="I172" s="49"/>
    </row>
    <row r="173" spans="1:9" ht="27" customHeight="1">
      <c r="A173" s="35" t="s">
        <v>206</v>
      </c>
      <c r="B173" s="42" t="s">
        <v>86</v>
      </c>
      <c r="C173" s="22" t="s">
        <v>194</v>
      </c>
      <c r="D173" s="29" t="s">
        <v>186</v>
      </c>
      <c r="E173" s="22" t="s">
        <v>71</v>
      </c>
      <c r="F173" s="29"/>
      <c r="G173" s="112"/>
      <c r="H173" s="38">
        <f>H174</f>
        <v>819.2</v>
      </c>
      <c r="I173" s="49"/>
    </row>
    <row r="174" spans="1:9" ht="57" customHeight="1">
      <c r="A174" s="35" t="s">
        <v>207</v>
      </c>
      <c r="B174" s="42" t="s">
        <v>86</v>
      </c>
      <c r="C174" s="22" t="s">
        <v>194</v>
      </c>
      <c r="D174" s="29" t="s">
        <v>186</v>
      </c>
      <c r="E174" s="22" t="s">
        <v>208</v>
      </c>
      <c r="F174" s="29"/>
      <c r="G174" s="112"/>
      <c r="H174" s="38">
        <f>H175</f>
        <v>819.2</v>
      </c>
      <c r="I174" s="49"/>
    </row>
    <row r="175" spans="1:9" ht="41.25" customHeight="1">
      <c r="A175" s="35" t="s">
        <v>449</v>
      </c>
      <c r="B175" s="42" t="s">
        <v>86</v>
      </c>
      <c r="C175" s="22" t="s">
        <v>194</v>
      </c>
      <c r="D175" s="29" t="s">
        <v>186</v>
      </c>
      <c r="E175" s="22" t="s">
        <v>243</v>
      </c>
      <c r="F175" s="29"/>
      <c r="G175" s="112"/>
      <c r="H175" s="38">
        <f>H176</f>
        <v>819.2</v>
      </c>
      <c r="I175" s="49"/>
    </row>
    <row r="176" spans="1:9" ht="14.25" customHeight="1">
      <c r="A176" s="35" t="s">
        <v>209</v>
      </c>
      <c r="B176" s="42" t="s">
        <v>86</v>
      </c>
      <c r="C176" s="22" t="s">
        <v>194</v>
      </c>
      <c r="D176" s="29" t="s">
        <v>186</v>
      </c>
      <c r="E176" s="22" t="s">
        <v>243</v>
      </c>
      <c r="F176" s="29" t="s">
        <v>67</v>
      </c>
      <c r="G176" s="112" t="s">
        <v>67</v>
      </c>
      <c r="H176" s="309">
        <v>819.2</v>
      </c>
      <c r="I176" s="49"/>
    </row>
    <row r="177" spans="1:9" ht="17.25" customHeight="1">
      <c r="A177" s="35" t="s">
        <v>8</v>
      </c>
      <c r="B177" s="42" t="s">
        <v>86</v>
      </c>
      <c r="C177" s="22" t="s">
        <v>194</v>
      </c>
      <c r="D177" s="29" t="s">
        <v>186</v>
      </c>
      <c r="E177" s="22" t="s">
        <v>26</v>
      </c>
      <c r="F177" s="29"/>
      <c r="G177" s="112"/>
      <c r="H177" s="309">
        <f>H178</f>
        <v>13952</v>
      </c>
      <c r="I177" s="49"/>
    </row>
    <row r="178" spans="1:9" ht="15" customHeight="1">
      <c r="A178" s="35" t="s">
        <v>27</v>
      </c>
      <c r="B178" s="42" t="s">
        <v>86</v>
      </c>
      <c r="C178" s="22" t="s">
        <v>194</v>
      </c>
      <c r="D178" s="29" t="s">
        <v>186</v>
      </c>
      <c r="E178" s="22" t="s">
        <v>210</v>
      </c>
      <c r="F178" s="29"/>
      <c r="G178" s="112"/>
      <c r="H178" s="309">
        <f>H179</f>
        <v>13952</v>
      </c>
      <c r="I178" s="49"/>
    </row>
    <row r="179" spans="1:9" ht="15" customHeight="1">
      <c r="A179" s="35" t="s">
        <v>172</v>
      </c>
      <c r="B179" s="42" t="s">
        <v>86</v>
      </c>
      <c r="C179" s="22" t="s">
        <v>194</v>
      </c>
      <c r="D179" s="29" t="s">
        <v>186</v>
      </c>
      <c r="E179" s="22" t="s">
        <v>210</v>
      </c>
      <c r="F179" s="29" t="s">
        <v>86</v>
      </c>
      <c r="G179" s="112" t="s">
        <v>86</v>
      </c>
      <c r="H179" s="309">
        <v>13952</v>
      </c>
      <c r="I179" s="49"/>
    </row>
    <row r="180" spans="1:9" ht="15.75" customHeight="1">
      <c r="A180" s="35" t="s">
        <v>9</v>
      </c>
      <c r="B180" s="42" t="s">
        <v>86</v>
      </c>
      <c r="C180" s="22" t="s">
        <v>194</v>
      </c>
      <c r="D180" s="29" t="s">
        <v>187</v>
      </c>
      <c r="E180" s="22"/>
      <c r="F180" s="29"/>
      <c r="G180" s="112"/>
      <c r="H180" s="38">
        <f>H181+H185</f>
        <v>1494.1999999999998</v>
      </c>
      <c r="I180" s="49"/>
    </row>
    <row r="181" spans="1:9" ht="30.75" customHeight="1">
      <c r="A181" s="35" t="s">
        <v>206</v>
      </c>
      <c r="B181" s="42" t="s">
        <v>86</v>
      </c>
      <c r="C181" s="22" t="s">
        <v>194</v>
      </c>
      <c r="D181" s="29" t="s">
        <v>187</v>
      </c>
      <c r="E181" s="22" t="s">
        <v>71</v>
      </c>
      <c r="F181" s="29"/>
      <c r="G181" s="112"/>
      <c r="H181" s="38">
        <f>H182</f>
        <v>329.6</v>
      </c>
      <c r="I181" s="49"/>
    </row>
    <row r="182" spans="1:9" ht="57" customHeight="1">
      <c r="A182" s="35" t="s">
        <v>207</v>
      </c>
      <c r="B182" s="42" t="s">
        <v>86</v>
      </c>
      <c r="C182" s="22" t="s">
        <v>194</v>
      </c>
      <c r="D182" s="29" t="s">
        <v>187</v>
      </c>
      <c r="E182" s="22" t="s">
        <v>208</v>
      </c>
      <c r="F182" s="29"/>
      <c r="G182" s="112"/>
      <c r="H182" s="38">
        <f>H183</f>
        <v>329.6</v>
      </c>
      <c r="I182" s="49"/>
    </row>
    <row r="183" spans="1:9" ht="42" customHeight="1">
      <c r="A183" s="35" t="s">
        <v>450</v>
      </c>
      <c r="B183" s="42" t="s">
        <v>86</v>
      </c>
      <c r="C183" s="22" t="s">
        <v>194</v>
      </c>
      <c r="D183" s="29" t="s">
        <v>187</v>
      </c>
      <c r="E183" s="22" t="s">
        <v>243</v>
      </c>
      <c r="F183" s="29"/>
      <c r="G183" s="112"/>
      <c r="H183" s="38">
        <f>H184</f>
        <v>329.6</v>
      </c>
      <c r="I183" s="49"/>
    </row>
    <row r="184" spans="1:9" ht="15" customHeight="1">
      <c r="A184" s="35" t="s">
        <v>209</v>
      </c>
      <c r="B184" s="42" t="s">
        <v>86</v>
      </c>
      <c r="C184" s="22" t="s">
        <v>194</v>
      </c>
      <c r="D184" s="29" t="s">
        <v>187</v>
      </c>
      <c r="E184" s="22" t="s">
        <v>243</v>
      </c>
      <c r="F184" s="29" t="s">
        <v>67</v>
      </c>
      <c r="G184" s="112" t="s">
        <v>67</v>
      </c>
      <c r="H184" s="38">
        <v>329.6</v>
      </c>
      <c r="I184" s="49"/>
    </row>
    <row r="185" spans="1:9" ht="17.25" customHeight="1">
      <c r="A185" s="35" t="s">
        <v>31</v>
      </c>
      <c r="B185" s="42" t="s">
        <v>86</v>
      </c>
      <c r="C185" s="22" t="s">
        <v>194</v>
      </c>
      <c r="D185" s="29" t="s">
        <v>187</v>
      </c>
      <c r="E185" s="22" t="s">
        <v>32</v>
      </c>
      <c r="F185" s="29"/>
      <c r="G185" s="112"/>
      <c r="H185" s="38">
        <f>H186</f>
        <v>1164.6</v>
      </c>
      <c r="I185" s="49"/>
    </row>
    <row r="186" spans="1:9" ht="13.5" customHeight="1">
      <c r="A186" s="35" t="s">
        <v>27</v>
      </c>
      <c r="B186" s="42" t="s">
        <v>86</v>
      </c>
      <c r="C186" s="22" t="s">
        <v>194</v>
      </c>
      <c r="D186" s="29" t="s">
        <v>187</v>
      </c>
      <c r="E186" s="22" t="s">
        <v>212</v>
      </c>
      <c r="F186" s="29"/>
      <c r="G186" s="112"/>
      <c r="H186" s="38">
        <f>H187</f>
        <v>1164.6</v>
      </c>
      <c r="I186" s="49"/>
    </row>
    <row r="187" spans="1:9" ht="15" customHeight="1">
      <c r="A187" s="35" t="s">
        <v>172</v>
      </c>
      <c r="B187" s="42" t="s">
        <v>86</v>
      </c>
      <c r="C187" s="22" t="s">
        <v>194</v>
      </c>
      <c r="D187" s="29" t="s">
        <v>187</v>
      </c>
      <c r="E187" s="22" t="s">
        <v>212</v>
      </c>
      <c r="F187" s="29" t="s">
        <v>86</v>
      </c>
      <c r="G187" s="112" t="s">
        <v>86</v>
      </c>
      <c r="H187" s="38">
        <v>1164.6</v>
      </c>
      <c r="I187" s="49"/>
    </row>
    <row r="188" spans="1:9" ht="15.75">
      <c r="A188" s="119" t="s">
        <v>116</v>
      </c>
      <c r="B188" s="108" t="s">
        <v>86</v>
      </c>
      <c r="C188" s="105" t="s">
        <v>195</v>
      </c>
      <c r="D188" s="114" t="s">
        <v>126</v>
      </c>
      <c r="E188" s="105"/>
      <c r="F188" s="103"/>
      <c r="G188" s="96"/>
      <c r="H188" s="86">
        <f>H189</f>
        <v>745</v>
      </c>
      <c r="I188" s="86">
        <f>I189</f>
        <v>0</v>
      </c>
    </row>
    <row r="189" spans="1:9" ht="15" customHeight="1">
      <c r="A189" s="25" t="s">
        <v>34</v>
      </c>
      <c r="B189" s="43" t="s">
        <v>86</v>
      </c>
      <c r="C189" s="22" t="s">
        <v>195</v>
      </c>
      <c r="D189" s="30" t="s">
        <v>186</v>
      </c>
      <c r="E189" s="18"/>
      <c r="F189" s="30"/>
      <c r="G189" s="112"/>
      <c r="H189" s="38">
        <f>H190+H193</f>
        <v>745</v>
      </c>
      <c r="I189" s="49">
        <f aca="true" t="shared" si="7" ref="H189:I191">I190</f>
        <v>0</v>
      </c>
    </row>
    <row r="190" spans="1:9" ht="0" customHeight="1" hidden="1">
      <c r="A190" s="25" t="s">
        <v>100</v>
      </c>
      <c r="B190" s="43" t="s">
        <v>86</v>
      </c>
      <c r="C190" s="22" t="s">
        <v>195</v>
      </c>
      <c r="D190" s="30" t="s">
        <v>186</v>
      </c>
      <c r="E190" s="18" t="s">
        <v>39</v>
      </c>
      <c r="F190" s="30"/>
      <c r="G190" s="112"/>
      <c r="H190" s="38">
        <f t="shared" si="7"/>
        <v>0</v>
      </c>
      <c r="I190" s="49">
        <f t="shared" si="7"/>
        <v>0</v>
      </c>
    </row>
    <row r="191" spans="1:9" s="48" customFormat="1" ht="15.75" hidden="1">
      <c r="A191" s="25" t="s">
        <v>101</v>
      </c>
      <c r="B191" s="43" t="s">
        <v>86</v>
      </c>
      <c r="C191" s="22" t="s">
        <v>195</v>
      </c>
      <c r="D191" s="30" t="s">
        <v>186</v>
      </c>
      <c r="E191" s="18" t="s">
        <v>226</v>
      </c>
      <c r="F191" s="30"/>
      <c r="G191" s="112"/>
      <c r="H191" s="38">
        <f t="shared" si="7"/>
        <v>0</v>
      </c>
      <c r="I191" s="49">
        <f t="shared" si="7"/>
        <v>0</v>
      </c>
    </row>
    <row r="192" spans="1:9" s="48" customFormat="1" ht="15.75" hidden="1">
      <c r="A192" s="25" t="s">
        <v>172</v>
      </c>
      <c r="B192" s="43" t="s">
        <v>86</v>
      </c>
      <c r="C192" s="22" t="s">
        <v>195</v>
      </c>
      <c r="D192" s="30" t="s">
        <v>186</v>
      </c>
      <c r="E192" s="18" t="s">
        <v>226</v>
      </c>
      <c r="F192" s="30" t="s">
        <v>86</v>
      </c>
      <c r="G192" s="112" t="s">
        <v>86</v>
      </c>
      <c r="H192" s="38">
        <f>145+1000-1145</f>
        <v>0</v>
      </c>
      <c r="I192" s="49"/>
    </row>
    <row r="193" spans="1:9" s="48" customFormat="1" ht="15.75">
      <c r="A193" s="25" t="s">
        <v>131</v>
      </c>
      <c r="B193" s="43" t="s">
        <v>86</v>
      </c>
      <c r="C193" s="22" t="s">
        <v>195</v>
      </c>
      <c r="D193" s="29" t="s">
        <v>186</v>
      </c>
      <c r="E193" s="18" t="s">
        <v>132</v>
      </c>
      <c r="F193" s="30"/>
      <c r="G193" s="87"/>
      <c r="H193" s="38">
        <f>H194</f>
        <v>745</v>
      </c>
      <c r="I193" s="49"/>
    </row>
    <row r="194" spans="1:9" s="48" customFormat="1" ht="26.25">
      <c r="A194" s="47" t="s">
        <v>253</v>
      </c>
      <c r="B194" s="43" t="s">
        <v>86</v>
      </c>
      <c r="C194" s="22" t="s">
        <v>195</v>
      </c>
      <c r="D194" s="29" t="s">
        <v>186</v>
      </c>
      <c r="E194" s="18" t="s">
        <v>252</v>
      </c>
      <c r="F194" s="30"/>
      <c r="G194" s="87"/>
      <c r="H194" s="38">
        <f>H195</f>
        <v>745</v>
      </c>
      <c r="I194" s="49"/>
    </row>
    <row r="195" spans="1:9" s="48" customFormat="1" ht="26.25">
      <c r="A195" s="47" t="s">
        <v>352</v>
      </c>
      <c r="B195" s="43" t="s">
        <v>86</v>
      </c>
      <c r="C195" s="22" t="s">
        <v>195</v>
      </c>
      <c r="D195" s="29" t="s">
        <v>186</v>
      </c>
      <c r="E195" s="18" t="s">
        <v>252</v>
      </c>
      <c r="F195" s="30"/>
      <c r="G195" s="87" t="s">
        <v>353</v>
      </c>
      <c r="H195" s="38">
        <f>1145-400</f>
        <v>745</v>
      </c>
      <c r="I195" s="49"/>
    </row>
    <row r="196" spans="1:9" ht="15.75">
      <c r="A196" s="119" t="s">
        <v>257</v>
      </c>
      <c r="B196" s="108" t="s">
        <v>86</v>
      </c>
      <c r="C196" s="105" t="s">
        <v>192</v>
      </c>
      <c r="D196" s="114" t="s">
        <v>126</v>
      </c>
      <c r="E196" s="105"/>
      <c r="F196" s="103"/>
      <c r="G196" s="96"/>
      <c r="H196" s="86">
        <f>H211+H197+H206</f>
        <v>172159.7</v>
      </c>
      <c r="I196" s="86">
        <f>I211+I197</f>
        <v>0</v>
      </c>
    </row>
    <row r="197" spans="1:9" ht="15.75">
      <c r="A197" s="27" t="s">
        <v>228</v>
      </c>
      <c r="B197" s="42" t="s">
        <v>86</v>
      </c>
      <c r="C197" s="22" t="s">
        <v>192</v>
      </c>
      <c r="D197" s="29" t="s">
        <v>186</v>
      </c>
      <c r="E197" s="22"/>
      <c r="F197" s="6" t="s">
        <v>49</v>
      </c>
      <c r="G197" s="95"/>
      <c r="H197" s="37">
        <f>H198+H202</f>
        <v>120159.7</v>
      </c>
      <c r="I197" s="37">
        <f>I198+I202</f>
        <v>0</v>
      </c>
    </row>
    <row r="198" spans="1:9" ht="26.25">
      <c r="A198" s="35" t="s">
        <v>206</v>
      </c>
      <c r="B198" s="43" t="s">
        <v>86</v>
      </c>
      <c r="C198" s="18" t="s">
        <v>192</v>
      </c>
      <c r="D198" s="29" t="s">
        <v>186</v>
      </c>
      <c r="E198" s="18" t="s">
        <v>71</v>
      </c>
      <c r="F198" s="7" t="s">
        <v>49</v>
      </c>
      <c r="G198" s="95"/>
      <c r="H198" s="38">
        <f aca="true" t="shared" si="8" ref="H198:I200">H199</f>
        <v>100759.7</v>
      </c>
      <c r="I198" s="49">
        <f t="shared" si="8"/>
        <v>0</v>
      </c>
    </row>
    <row r="199" spans="1:9" ht="12" customHeight="1">
      <c r="A199" s="35" t="s">
        <v>207</v>
      </c>
      <c r="B199" s="43" t="s">
        <v>86</v>
      </c>
      <c r="C199" s="18" t="s">
        <v>192</v>
      </c>
      <c r="D199" s="29" t="s">
        <v>186</v>
      </c>
      <c r="E199" s="18" t="s">
        <v>208</v>
      </c>
      <c r="F199" s="7" t="s">
        <v>72</v>
      </c>
      <c r="G199" s="51"/>
      <c r="H199" s="38">
        <f t="shared" si="8"/>
        <v>100759.7</v>
      </c>
      <c r="I199" s="49">
        <f t="shared" si="8"/>
        <v>0</v>
      </c>
    </row>
    <row r="200" spans="1:9" ht="64.5">
      <c r="A200" s="35" t="s">
        <v>303</v>
      </c>
      <c r="B200" s="43" t="s">
        <v>86</v>
      </c>
      <c r="C200" s="18" t="s">
        <v>192</v>
      </c>
      <c r="D200" s="29" t="s">
        <v>186</v>
      </c>
      <c r="E200" s="18" t="s">
        <v>243</v>
      </c>
      <c r="F200" s="7"/>
      <c r="G200" s="51"/>
      <c r="H200" s="38">
        <f t="shared" si="8"/>
        <v>100759.7</v>
      </c>
      <c r="I200" s="49">
        <f t="shared" si="8"/>
        <v>0</v>
      </c>
    </row>
    <row r="201" spans="1:9" ht="15.75">
      <c r="A201" s="35" t="s">
        <v>209</v>
      </c>
      <c r="B201" s="43" t="s">
        <v>86</v>
      </c>
      <c r="C201" s="18" t="s">
        <v>192</v>
      </c>
      <c r="D201" s="29" t="s">
        <v>186</v>
      </c>
      <c r="E201" s="18" t="s">
        <v>243</v>
      </c>
      <c r="F201" s="7"/>
      <c r="G201" s="51" t="s">
        <v>67</v>
      </c>
      <c r="H201" s="38">
        <f>85000+38000-23000+759.7</f>
        <v>100759.7</v>
      </c>
      <c r="I201" s="49"/>
    </row>
    <row r="202" spans="1:9" ht="26.25">
      <c r="A202" s="35" t="s">
        <v>206</v>
      </c>
      <c r="B202" s="43" t="s">
        <v>86</v>
      </c>
      <c r="C202" s="18" t="s">
        <v>192</v>
      </c>
      <c r="D202" s="29" t="s">
        <v>186</v>
      </c>
      <c r="E202" s="18" t="s">
        <v>71</v>
      </c>
      <c r="F202" s="7" t="s">
        <v>49</v>
      </c>
      <c r="G202" s="95"/>
      <c r="H202" s="38">
        <f>H203</f>
        <v>19400</v>
      </c>
      <c r="I202" s="49"/>
    </row>
    <row r="203" spans="1:9" ht="51.75">
      <c r="A203" s="35" t="s">
        <v>207</v>
      </c>
      <c r="B203" s="43" t="s">
        <v>86</v>
      </c>
      <c r="C203" s="18" t="s">
        <v>192</v>
      </c>
      <c r="D203" s="29" t="s">
        <v>186</v>
      </c>
      <c r="E203" s="18" t="s">
        <v>208</v>
      </c>
      <c r="F203" s="7" t="s">
        <v>72</v>
      </c>
      <c r="G203" s="51"/>
      <c r="H203" s="38">
        <f>H204</f>
        <v>19400</v>
      </c>
      <c r="I203" s="49"/>
    </row>
    <row r="204" spans="1:9" ht="51.75">
      <c r="A204" s="35" t="s">
        <v>304</v>
      </c>
      <c r="B204" s="43" t="s">
        <v>86</v>
      </c>
      <c r="C204" s="18" t="s">
        <v>192</v>
      </c>
      <c r="D204" s="29" t="s">
        <v>186</v>
      </c>
      <c r="E204" s="18" t="s">
        <v>243</v>
      </c>
      <c r="F204" s="7"/>
      <c r="G204" s="51"/>
      <c r="H204" s="38">
        <f>H205</f>
        <v>19400</v>
      </c>
      <c r="I204" s="49"/>
    </row>
    <row r="205" spans="1:9" ht="15.75">
      <c r="A205" s="35" t="s">
        <v>209</v>
      </c>
      <c r="B205" s="43" t="s">
        <v>86</v>
      </c>
      <c r="C205" s="18" t="s">
        <v>192</v>
      </c>
      <c r="D205" s="29" t="s">
        <v>186</v>
      </c>
      <c r="E205" s="18" t="s">
        <v>243</v>
      </c>
      <c r="F205" s="7"/>
      <c r="G205" s="51" t="s">
        <v>67</v>
      </c>
      <c r="H205" s="38">
        <f>20400-6000+15000-10000</f>
        <v>19400</v>
      </c>
      <c r="I205" s="49"/>
    </row>
    <row r="206" spans="1:9" ht="15.75">
      <c r="A206" s="370" t="s">
        <v>340</v>
      </c>
      <c r="B206" s="30" t="s">
        <v>86</v>
      </c>
      <c r="C206" s="18" t="s">
        <v>192</v>
      </c>
      <c r="D206" s="29" t="s">
        <v>188</v>
      </c>
      <c r="E206" s="18"/>
      <c r="F206" s="7"/>
      <c r="G206" s="122"/>
      <c r="H206" s="38">
        <f>H207</f>
        <v>1000</v>
      </c>
      <c r="I206" s="49"/>
    </row>
    <row r="207" spans="1:9" ht="26.25">
      <c r="A207" s="35" t="s">
        <v>206</v>
      </c>
      <c r="B207" s="43" t="s">
        <v>86</v>
      </c>
      <c r="C207" s="18" t="s">
        <v>192</v>
      </c>
      <c r="D207" s="29" t="s">
        <v>188</v>
      </c>
      <c r="E207" s="18" t="s">
        <v>71</v>
      </c>
      <c r="F207" s="7" t="s">
        <v>49</v>
      </c>
      <c r="G207" s="95"/>
      <c r="H207" s="38">
        <f>H208</f>
        <v>1000</v>
      </c>
      <c r="I207" s="49"/>
    </row>
    <row r="208" spans="1:9" ht="51.75">
      <c r="A208" s="35" t="s">
        <v>207</v>
      </c>
      <c r="B208" s="43" t="s">
        <v>86</v>
      </c>
      <c r="C208" s="18" t="s">
        <v>192</v>
      </c>
      <c r="D208" s="29" t="s">
        <v>188</v>
      </c>
      <c r="E208" s="18" t="s">
        <v>208</v>
      </c>
      <c r="F208" s="7" t="s">
        <v>72</v>
      </c>
      <c r="G208" s="51"/>
      <c r="H208" s="38">
        <f>H209</f>
        <v>1000</v>
      </c>
      <c r="I208" s="49"/>
    </row>
    <row r="209" spans="1:9" ht="51.75">
      <c r="A209" s="35" t="s">
        <v>302</v>
      </c>
      <c r="B209" s="43" t="s">
        <v>86</v>
      </c>
      <c r="C209" s="18" t="s">
        <v>192</v>
      </c>
      <c r="D209" s="29" t="s">
        <v>188</v>
      </c>
      <c r="E209" s="18" t="s">
        <v>243</v>
      </c>
      <c r="F209" s="7"/>
      <c r="G209" s="51"/>
      <c r="H209" s="38">
        <f>H210</f>
        <v>1000</v>
      </c>
      <c r="I209" s="49"/>
    </row>
    <row r="210" spans="1:9" ht="15.75">
      <c r="A210" s="35" t="s">
        <v>209</v>
      </c>
      <c r="B210" s="43" t="s">
        <v>86</v>
      </c>
      <c r="C210" s="18" t="s">
        <v>192</v>
      </c>
      <c r="D210" s="29" t="s">
        <v>188</v>
      </c>
      <c r="E210" s="18" t="s">
        <v>243</v>
      </c>
      <c r="F210" s="7"/>
      <c r="G210" s="51" t="s">
        <v>67</v>
      </c>
      <c r="H210" s="38">
        <f>5000-4000</f>
        <v>1000</v>
      </c>
      <c r="I210" s="49"/>
    </row>
    <row r="211" spans="1:9" ht="15.75">
      <c r="A211" s="25" t="s">
        <v>230</v>
      </c>
      <c r="B211" s="43" t="s">
        <v>86</v>
      </c>
      <c r="C211" s="18" t="s">
        <v>192</v>
      </c>
      <c r="D211" s="30" t="s">
        <v>195</v>
      </c>
      <c r="E211" s="18"/>
      <c r="F211" s="7"/>
      <c r="G211" s="51"/>
      <c r="H211" s="38">
        <f>H212+H216</f>
        <v>51000</v>
      </c>
      <c r="I211" s="49">
        <f aca="true" t="shared" si="9" ref="H211:I214">I212</f>
        <v>0</v>
      </c>
    </row>
    <row r="212" spans="1:9" ht="26.25">
      <c r="A212" s="35" t="s">
        <v>206</v>
      </c>
      <c r="B212" s="43" t="s">
        <v>86</v>
      </c>
      <c r="C212" s="18" t="s">
        <v>192</v>
      </c>
      <c r="D212" s="30" t="s">
        <v>195</v>
      </c>
      <c r="E212" s="18" t="s">
        <v>71</v>
      </c>
      <c r="F212" s="30"/>
      <c r="G212" s="87"/>
      <c r="H212" s="38">
        <f t="shared" si="9"/>
        <v>50000</v>
      </c>
      <c r="I212" s="49">
        <f t="shared" si="9"/>
        <v>0</v>
      </c>
    </row>
    <row r="213" spans="1:9" ht="26.25">
      <c r="A213" s="35" t="s">
        <v>276</v>
      </c>
      <c r="B213" s="43" t="s">
        <v>86</v>
      </c>
      <c r="C213" s="18" t="s">
        <v>192</v>
      </c>
      <c r="D213" s="30" t="s">
        <v>195</v>
      </c>
      <c r="E213" s="18" t="s">
        <v>208</v>
      </c>
      <c r="F213" s="7"/>
      <c r="G213" s="51"/>
      <c r="H213" s="38">
        <f t="shared" si="9"/>
        <v>50000</v>
      </c>
      <c r="I213" s="49">
        <f t="shared" si="9"/>
        <v>0</v>
      </c>
    </row>
    <row r="214" spans="1:9" ht="77.25">
      <c r="A214" s="35" t="s">
        <v>301</v>
      </c>
      <c r="B214" s="43" t="s">
        <v>86</v>
      </c>
      <c r="C214" s="18" t="s">
        <v>192</v>
      </c>
      <c r="D214" s="30" t="s">
        <v>195</v>
      </c>
      <c r="E214" s="18" t="s">
        <v>243</v>
      </c>
      <c r="F214" s="7"/>
      <c r="G214" s="51"/>
      <c r="H214" s="38">
        <f t="shared" si="9"/>
        <v>50000</v>
      </c>
      <c r="I214" s="49">
        <f t="shared" si="9"/>
        <v>0</v>
      </c>
    </row>
    <row r="215" spans="1:9" ht="15.75">
      <c r="A215" s="35" t="s">
        <v>209</v>
      </c>
      <c r="B215" s="43" t="s">
        <v>86</v>
      </c>
      <c r="C215" s="18" t="s">
        <v>192</v>
      </c>
      <c r="D215" s="30" t="s">
        <v>195</v>
      </c>
      <c r="E215" s="18" t="s">
        <v>243</v>
      </c>
      <c r="F215" s="7"/>
      <c r="G215" s="51" t="s">
        <v>67</v>
      </c>
      <c r="H215" s="38">
        <f>50000+50000-50000</f>
        <v>50000</v>
      </c>
      <c r="I215" s="49">
        <f>12000-12000</f>
        <v>0</v>
      </c>
    </row>
    <row r="216" spans="1:9" ht="33" customHeight="1">
      <c r="A216" s="47" t="s">
        <v>206</v>
      </c>
      <c r="B216" s="43" t="s">
        <v>86</v>
      </c>
      <c r="C216" s="18" t="s">
        <v>192</v>
      </c>
      <c r="D216" s="30" t="s">
        <v>195</v>
      </c>
      <c r="E216" s="18" t="s">
        <v>71</v>
      </c>
      <c r="F216" s="30"/>
      <c r="G216" s="87"/>
      <c r="H216" s="38">
        <f>H217</f>
        <v>1000</v>
      </c>
      <c r="I216" s="49"/>
    </row>
    <row r="217" spans="1:9" ht="51.75">
      <c r="A217" s="47" t="s">
        <v>207</v>
      </c>
      <c r="B217" s="43" t="s">
        <v>86</v>
      </c>
      <c r="C217" s="18" t="s">
        <v>192</v>
      </c>
      <c r="D217" s="30" t="s">
        <v>195</v>
      </c>
      <c r="E217" s="18" t="s">
        <v>208</v>
      </c>
      <c r="F217" s="7"/>
      <c r="G217" s="51"/>
      <c r="H217" s="38">
        <f>H218</f>
        <v>1000</v>
      </c>
      <c r="I217" s="49"/>
    </row>
    <row r="218" spans="1:9" ht="56.25" customHeight="1">
      <c r="A218" s="47" t="s">
        <v>346</v>
      </c>
      <c r="B218" s="43" t="s">
        <v>86</v>
      </c>
      <c r="C218" s="18" t="s">
        <v>192</v>
      </c>
      <c r="D218" s="30" t="s">
        <v>195</v>
      </c>
      <c r="E218" s="18" t="s">
        <v>243</v>
      </c>
      <c r="F218" s="7"/>
      <c r="G218" s="51"/>
      <c r="H218" s="38">
        <f>H219</f>
        <v>1000</v>
      </c>
      <c r="I218" s="49"/>
    </row>
    <row r="219" spans="1:9" ht="15.75">
      <c r="A219" s="35" t="s">
        <v>209</v>
      </c>
      <c r="B219" s="43" t="s">
        <v>86</v>
      </c>
      <c r="C219" s="18" t="s">
        <v>192</v>
      </c>
      <c r="D219" s="30" t="s">
        <v>195</v>
      </c>
      <c r="E219" s="18" t="s">
        <v>243</v>
      </c>
      <c r="F219" s="7"/>
      <c r="G219" s="51" t="s">
        <v>67</v>
      </c>
      <c r="H219" s="38">
        <f>5000-4000</f>
        <v>1000</v>
      </c>
      <c r="I219" s="49"/>
    </row>
    <row r="220" spans="1:9" ht="15.75">
      <c r="A220" s="119" t="s">
        <v>5</v>
      </c>
      <c r="B220" s="108" t="s">
        <v>86</v>
      </c>
      <c r="C220" s="105" t="s">
        <v>193</v>
      </c>
      <c r="D220" s="114" t="s">
        <v>126</v>
      </c>
      <c r="E220" s="105"/>
      <c r="F220" s="103"/>
      <c r="G220" s="96"/>
      <c r="H220" s="86">
        <f>H221+H225+H244</f>
        <v>61014.200000000004</v>
      </c>
      <c r="I220" s="98">
        <f>I221+I225+I244</f>
        <v>47203</v>
      </c>
    </row>
    <row r="221" spans="1:9" ht="15.75">
      <c r="A221" s="27" t="s">
        <v>46</v>
      </c>
      <c r="B221" s="42" t="s">
        <v>86</v>
      </c>
      <c r="C221" s="22" t="s">
        <v>193</v>
      </c>
      <c r="D221" s="29" t="s">
        <v>186</v>
      </c>
      <c r="E221" s="22"/>
      <c r="F221" s="29"/>
      <c r="G221" s="95"/>
      <c r="H221" s="37">
        <f aca="true" t="shared" si="10" ref="H221:I223">H222</f>
        <v>750</v>
      </c>
      <c r="I221" s="85">
        <f t="shared" si="10"/>
        <v>0</v>
      </c>
    </row>
    <row r="222" spans="1:9" ht="15.75">
      <c r="A222" s="47" t="s">
        <v>233</v>
      </c>
      <c r="B222" s="43" t="s">
        <v>86</v>
      </c>
      <c r="C222" s="22" t="s">
        <v>193</v>
      </c>
      <c r="D222" s="30" t="s">
        <v>186</v>
      </c>
      <c r="E222" s="18" t="s">
        <v>234</v>
      </c>
      <c r="F222" s="30"/>
      <c r="G222" s="87"/>
      <c r="H222" s="38">
        <f t="shared" si="10"/>
        <v>750</v>
      </c>
      <c r="I222" s="49">
        <f t="shared" si="10"/>
        <v>0</v>
      </c>
    </row>
    <row r="223" spans="1:9" ht="26.25">
      <c r="A223" s="47" t="s">
        <v>114</v>
      </c>
      <c r="B223" s="44" t="s">
        <v>86</v>
      </c>
      <c r="C223" s="22" t="s">
        <v>193</v>
      </c>
      <c r="D223" s="31" t="s">
        <v>186</v>
      </c>
      <c r="E223" s="20" t="s">
        <v>235</v>
      </c>
      <c r="F223" s="31"/>
      <c r="G223" s="58"/>
      <c r="H223" s="36">
        <f t="shared" si="10"/>
        <v>750</v>
      </c>
      <c r="I223" s="60">
        <f t="shared" si="10"/>
        <v>0</v>
      </c>
    </row>
    <row r="224" spans="1:9" ht="15.75">
      <c r="A224" s="47" t="s">
        <v>260</v>
      </c>
      <c r="B224" s="44" t="s">
        <v>86</v>
      </c>
      <c r="C224" s="22" t="s">
        <v>193</v>
      </c>
      <c r="D224" s="31" t="s">
        <v>186</v>
      </c>
      <c r="E224" s="20" t="s">
        <v>235</v>
      </c>
      <c r="F224" s="31"/>
      <c r="G224" s="51" t="s">
        <v>51</v>
      </c>
      <c r="H224" s="36">
        <v>750</v>
      </c>
      <c r="I224" s="53"/>
    </row>
    <row r="225" spans="1:9" ht="15.75">
      <c r="A225" s="25" t="s">
        <v>96</v>
      </c>
      <c r="B225" s="43" t="s">
        <v>86</v>
      </c>
      <c r="C225" s="22" t="s">
        <v>193</v>
      </c>
      <c r="D225" s="30" t="s">
        <v>191</v>
      </c>
      <c r="E225" s="18"/>
      <c r="F225" s="30"/>
      <c r="G225" s="87"/>
      <c r="H225" s="38">
        <f>H233+H239+H226+H229</f>
        <v>58134.200000000004</v>
      </c>
      <c r="I225" s="38">
        <f>I233+I239</f>
        <v>47203</v>
      </c>
    </row>
    <row r="226" spans="1:9" ht="15.75">
      <c r="A226" s="47" t="s">
        <v>404</v>
      </c>
      <c r="B226" s="43" t="s">
        <v>86</v>
      </c>
      <c r="C226" s="22" t="s">
        <v>193</v>
      </c>
      <c r="D226" s="30" t="s">
        <v>191</v>
      </c>
      <c r="E226" s="18" t="s">
        <v>405</v>
      </c>
      <c r="F226" s="30"/>
      <c r="G226" s="87"/>
      <c r="H226" s="38">
        <f>H227</f>
        <v>2255.6</v>
      </c>
      <c r="I226" s="49"/>
    </row>
    <row r="227" spans="1:9" ht="15.75">
      <c r="A227" s="25" t="s">
        <v>406</v>
      </c>
      <c r="B227" s="43" t="s">
        <v>86</v>
      </c>
      <c r="C227" s="22" t="s">
        <v>193</v>
      </c>
      <c r="D227" s="30" t="s">
        <v>191</v>
      </c>
      <c r="E227" s="18" t="s">
        <v>407</v>
      </c>
      <c r="F227" s="30"/>
      <c r="G227" s="87"/>
      <c r="H227" s="38">
        <f>H228</f>
        <v>2255.6</v>
      </c>
      <c r="I227" s="49"/>
    </row>
    <row r="228" spans="1:9" ht="15.75">
      <c r="A228" s="25" t="s">
        <v>408</v>
      </c>
      <c r="B228" s="43" t="s">
        <v>86</v>
      </c>
      <c r="C228" s="22" t="s">
        <v>193</v>
      </c>
      <c r="D228" s="30" t="s">
        <v>191</v>
      </c>
      <c r="E228" s="18" t="s">
        <v>407</v>
      </c>
      <c r="F228" s="30" t="s">
        <v>409</v>
      </c>
      <c r="G228" s="87" t="s">
        <v>409</v>
      </c>
      <c r="H228" s="38">
        <v>2255.6</v>
      </c>
      <c r="I228" s="49"/>
    </row>
    <row r="229" spans="1:9" ht="15.75">
      <c r="A229" s="25" t="s">
        <v>410</v>
      </c>
      <c r="B229" s="43" t="s">
        <v>86</v>
      </c>
      <c r="C229" s="22" t="s">
        <v>193</v>
      </c>
      <c r="D229" s="30" t="s">
        <v>191</v>
      </c>
      <c r="E229" s="18" t="s">
        <v>411</v>
      </c>
      <c r="F229" s="30"/>
      <c r="G229" s="87"/>
      <c r="H229" s="38">
        <f>H230</f>
        <v>1213.5</v>
      </c>
      <c r="I229" s="49"/>
    </row>
    <row r="230" spans="1:9" ht="15.75">
      <c r="A230" s="25" t="s">
        <v>412</v>
      </c>
      <c r="B230" s="43" t="s">
        <v>86</v>
      </c>
      <c r="C230" s="22" t="s">
        <v>193</v>
      </c>
      <c r="D230" s="30" t="s">
        <v>191</v>
      </c>
      <c r="E230" s="18" t="s">
        <v>413</v>
      </c>
      <c r="F230" s="30"/>
      <c r="G230" s="87"/>
      <c r="H230" s="38">
        <f>H231</f>
        <v>1213.5</v>
      </c>
      <c r="I230" s="49"/>
    </row>
    <row r="231" spans="1:9" ht="15.75">
      <c r="A231" s="25" t="s">
        <v>406</v>
      </c>
      <c r="B231" s="43" t="s">
        <v>86</v>
      </c>
      <c r="C231" s="22" t="s">
        <v>193</v>
      </c>
      <c r="D231" s="30" t="s">
        <v>191</v>
      </c>
      <c r="E231" s="18" t="s">
        <v>414</v>
      </c>
      <c r="F231" s="30"/>
      <c r="G231" s="87"/>
      <c r="H231" s="38">
        <f>H232</f>
        <v>1213.5</v>
      </c>
      <c r="I231" s="49"/>
    </row>
    <row r="232" spans="1:9" ht="15.75">
      <c r="A232" s="25" t="s">
        <v>408</v>
      </c>
      <c r="B232" s="43" t="s">
        <v>86</v>
      </c>
      <c r="C232" s="22" t="s">
        <v>193</v>
      </c>
      <c r="D232" s="30" t="s">
        <v>191</v>
      </c>
      <c r="E232" s="18" t="s">
        <v>414</v>
      </c>
      <c r="F232" s="30" t="s">
        <v>409</v>
      </c>
      <c r="G232" s="87" t="s">
        <v>409</v>
      </c>
      <c r="H232" s="38">
        <v>1213.5</v>
      </c>
      <c r="I232" s="49"/>
    </row>
    <row r="233" spans="1:9" ht="15.75">
      <c r="A233" s="25" t="s">
        <v>236</v>
      </c>
      <c r="B233" s="43" t="s">
        <v>86</v>
      </c>
      <c r="C233" s="22" t="s">
        <v>193</v>
      </c>
      <c r="D233" s="30" t="s">
        <v>191</v>
      </c>
      <c r="E233" s="18" t="s">
        <v>90</v>
      </c>
      <c r="F233" s="30"/>
      <c r="G233" s="87"/>
      <c r="H233" s="38">
        <f>H234+H237</f>
        <v>52957.3</v>
      </c>
      <c r="I233" s="49">
        <f>I234+I237</f>
        <v>47203</v>
      </c>
    </row>
    <row r="234" spans="1:9" ht="15.75">
      <c r="A234" s="25" t="s">
        <v>237</v>
      </c>
      <c r="B234" s="43" t="s">
        <v>86</v>
      </c>
      <c r="C234" s="22" t="s">
        <v>193</v>
      </c>
      <c r="D234" s="30" t="s">
        <v>191</v>
      </c>
      <c r="E234" s="18" t="s">
        <v>238</v>
      </c>
      <c r="F234" s="30" t="s">
        <v>91</v>
      </c>
      <c r="G234" s="57"/>
      <c r="H234" s="38">
        <f>H235</f>
        <v>2450</v>
      </c>
      <c r="I234" s="49">
        <f>I235</f>
        <v>0</v>
      </c>
    </row>
    <row r="235" spans="1:9" ht="26.25">
      <c r="A235" s="47" t="s">
        <v>239</v>
      </c>
      <c r="B235" s="43" t="s">
        <v>86</v>
      </c>
      <c r="C235" s="22" t="s">
        <v>193</v>
      </c>
      <c r="D235" s="30" t="s">
        <v>191</v>
      </c>
      <c r="E235" s="18" t="s">
        <v>240</v>
      </c>
      <c r="F235" s="7"/>
      <c r="G235" s="57"/>
      <c r="H235" s="38">
        <f>H236</f>
        <v>2450</v>
      </c>
      <c r="I235" s="49">
        <f>I236</f>
        <v>0</v>
      </c>
    </row>
    <row r="236" spans="1:9" ht="15.75">
      <c r="A236" s="47" t="s">
        <v>260</v>
      </c>
      <c r="B236" s="43" t="s">
        <v>86</v>
      </c>
      <c r="C236" s="22" t="s">
        <v>193</v>
      </c>
      <c r="D236" s="30" t="s">
        <v>191</v>
      </c>
      <c r="E236" s="18" t="s">
        <v>240</v>
      </c>
      <c r="F236" s="7"/>
      <c r="G236" s="11" t="s">
        <v>51</v>
      </c>
      <c r="H236" s="38">
        <f>2000+50+400</f>
        <v>2450</v>
      </c>
      <c r="I236" s="49"/>
    </row>
    <row r="237" spans="1:9" ht="26.25">
      <c r="A237" s="47" t="s">
        <v>144</v>
      </c>
      <c r="B237" s="43" t="s">
        <v>86</v>
      </c>
      <c r="C237" s="22" t="s">
        <v>193</v>
      </c>
      <c r="D237" s="30" t="s">
        <v>191</v>
      </c>
      <c r="E237" s="18" t="s">
        <v>241</v>
      </c>
      <c r="F237" s="7"/>
      <c r="G237" s="57"/>
      <c r="H237" s="38">
        <f>H238</f>
        <v>50507.3</v>
      </c>
      <c r="I237" s="49">
        <f>I238</f>
        <v>47203</v>
      </c>
    </row>
    <row r="238" spans="1:9" ht="15.75">
      <c r="A238" s="47" t="s">
        <v>168</v>
      </c>
      <c r="B238" s="43" t="s">
        <v>86</v>
      </c>
      <c r="C238" s="22" t="s">
        <v>193</v>
      </c>
      <c r="D238" s="30" t="s">
        <v>191</v>
      </c>
      <c r="E238" s="18" t="s">
        <v>241</v>
      </c>
      <c r="F238" s="7"/>
      <c r="G238" s="11" t="s">
        <v>51</v>
      </c>
      <c r="H238" s="38">
        <f>50018-1869+3304.3-946</f>
        <v>50507.3</v>
      </c>
      <c r="I238" s="49">
        <f>50018-1869-946</f>
        <v>47203</v>
      </c>
    </row>
    <row r="239" spans="1:9" ht="15.75">
      <c r="A239" s="25" t="s">
        <v>131</v>
      </c>
      <c r="B239" s="43" t="s">
        <v>86</v>
      </c>
      <c r="C239" s="22" t="s">
        <v>193</v>
      </c>
      <c r="D239" s="30" t="s">
        <v>191</v>
      </c>
      <c r="E239" s="18" t="s">
        <v>132</v>
      </c>
      <c r="F239" s="7"/>
      <c r="G239" s="11"/>
      <c r="H239" s="38">
        <f>H240+H242</f>
        <v>1707.8</v>
      </c>
      <c r="I239" s="49">
        <f>I240</f>
        <v>0</v>
      </c>
    </row>
    <row r="240" spans="1:9" ht="26.25">
      <c r="A240" s="47" t="s">
        <v>361</v>
      </c>
      <c r="B240" s="43" t="s">
        <v>86</v>
      </c>
      <c r="C240" s="22" t="s">
        <v>193</v>
      </c>
      <c r="D240" s="30" t="s">
        <v>191</v>
      </c>
      <c r="E240" s="18" t="s">
        <v>248</v>
      </c>
      <c r="F240" s="7"/>
      <c r="G240" s="57"/>
      <c r="H240" s="38">
        <f>H241</f>
        <v>1324</v>
      </c>
      <c r="I240" s="49">
        <f>I241</f>
        <v>0</v>
      </c>
    </row>
    <row r="241" spans="1:9" ht="15.75">
      <c r="A241" s="27" t="s">
        <v>146</v>
      </c>
      <c r="B241" s="43" t="s">
        <v>86</v>
      </c>
      <c r="C241" s="22" t="s">
        <v>193</v>
      </c>
      <c r="D241" s="30" t="s">
        <v>191</v>
      </c>
      <c r="E241" s="18" t="s">
        <v>248</v>
      </c>
      <c r="F241" s="7"/>
      <c r="G241" s="11" t="s">
        <v>278</v>
      </c>
      <c r="H241" s="38">
        <f>1200.1+123.9</f>
        <v>1324</v>
      </c>
      <c r="I241" s="49"/>
    </row>
    <row r="242" spans="1:9" ht="26.25">
      <c r="A242" s="47" t="s">
        <v>362</v>
      </c>
      <c r="B242" s="43" t="s">
        <v>86</v>
      </c>
      <c r="C242" s="22" t="s">
        <v>193</v>
      </c>
      <c r="D242" s="30" t="s">
        <v>191</v>
      </c>
      <c r="E242" s="18" t="s">
        <v>299</v>
      </c>
      <c r="F242" s="7"/>
      <c r="G242" s="57"/>
      <c r="H242" s="38">
        <f>H243</f>
        <v>383.8</v>
      </c>
      <c r="I242" s="49"/>
    </row>
    <row r="243" spans="1:9" ht="15.75">
      <c r="A243" s="27" t="s">
        <v>146</v>
      </c>
      <c r="B243" s="43" t="s">
        <v>86</v>
      </c>
      <c r="C243" s="22" t="s">
        <v>193</v>
      </c>
      <c r="D243" s="30" t="s">
        <v>191</v>
      </c>
      <c r="E243" s="18" t="s">
        <v>299</v>
      </c>
      <c r="F243" s="7"/>
      <c r="G243" s="11" t="s">
        <v>278</v>
      </c>
      <c r="H243" s="38">
        <v>383.8</v>
      </c>
      <c r="I243" s="49"/>
    </row>
    <row r="244" spans="1:9" ht="15.75">
      <c r="A244" s="119" t="s">
        <v>130</v>
      </c>
      <c r="B244" s="43" t="s">
        <v>86</v>
      </c>
      <c r="C244" s="22" t="s">
        <v>193</v>
      </c>
      <c r="D244" s="30" t="s">
        <v>205</v>
      </c>
      <c r="E244" s="18"/>
      <c r="F244" s="7"/>
      <c r="G244" s="11"/>
      <c r="H244" s="38">
        <f aca="true" t="shared" si="11" ref="H244:I246">H245</f>
        <v>2130</v>
      </c>
      <c r="I244" s="49">
        <f t="shared" si="11"/>
        <v>0</v>
      </c>
    </row>
    <row r="245" spans="1:9" ht="15.75">
      <c r="A245" s="25" t="s">
        <v>131</v>
      </c>
      <c r="B245" s="43" t="s">
        <v>86</v>
      </c>
      <c r="C245" s="22" t="s">
        <v>193</v>
      </c>
      <c r="D245" s="30" t="s">
        <v>205</v>
      </c>
      <c r="E245" s="18" t="s">
        <v>132</v>
      </c>
      <c r="F245" s="7" t="s">
        <v>49</v>
      </c>
      <c r="G245" s="11"/>
      <c r="H245" s="38">
        <f t="shared" si="11"/>
        <v>2130</v>
      </c>
      <c r="I245" s="49">
        <f t="shared" si="11"/>
        <v>0</v>
      </c>
    </row>
    <row r="246" spans="1:9" ht="26.25">
      <c r="A246" s="47" t="s">
        <v>246</v>
      </c>
      <c r="B246" s="43" t="s">
        <v>86</v>
      </c>
      <c r="C246" s="22" t="s">
        <v>193</v>
      </c>
      <c r="D246" s="30" t="s">
        <v>205</v>
      </c>
      <c r="E246" s="18" t="s">
        <v>247</v>
      </c>
      <c r="F246" s="7" t="s">
        <v>49</v>
      </c>
      <c r="G246" s="11"/>
      <c r="H246" s="38">
        <f t="shared" si="11"/>
        <v>2130</v>
      </c>
      <c r="I246" s="49">
        <f t="shared" si="11"/>
        <v>0</v>
      </c>
    </row>
    <row r="247" spans="1:9" ht="16.5" thickBot="1">
      <c r="A247" s="27" t="s">
        <v>146</v>
      </c>
      <c r="B247" s="15" t="s">
        <v>86</v>
      </c>
      <c r="C247" s="22" t="s">
        <v>193</v>
      </c>
      <c r="D247" s="9" t="s">
        <v>205</v>
      </c>
      <c r="E247" s="14" t="s">
        <v>247</v>
      </c>
      <c r="F247" s="9" t="s">
        <v>133</v>
      </c>
      <c r="G247" s="11" t="s">
        <v>278</v>
      </c>
      <c r="H247" s="41">
        <f>2630-500</f>
        <v>2130</v>
      </c>
      <c r="I247" s="99"/>
    </row>
    <row r="248" spans="1:9" ht="19.5" thickBot="1">
      <c r="A248" s="274" t="s">
        <v>122</v>
      </c>
      <c r="B248" s="275" t="s">
        <v>62</v>
      </c>
      <c r="C248" s="276"/>
      <c r="D248" s="277"/>
      <c r="E248" s="276"/>
      <c r="F248" s="277"/>
      <c r="G248" s="278"/>
      <c r="H248" s="279">
        <f>H259+H300+H254+H249</f>
        <v>688848.1000000001</v>
      </c>
      <c r="I248" s="279">
        <f>I259+I300+I254+I249</f>
        <v>261766</v>
      </c>
    </row>
    <row r="249" spans="1:9" ht="15" customHeight="1">
      <c r="A249" s="375" t="s">
        <v>115</v>
      </c>
      <c r="B249" s="361" t="s">
        <v>62</v>
      </c>
      <c r="C249" s="361" t="s">
        <v>191</v>
      </c>
      <c r="D249" s="361" t="s">
        <v>126</v>
      </c>
      <c r="E249" s="361"/>
      <c r="F249" s="361"/>
      <c r="G249" s="345"/>
      <c r="H249" s="362">
        <f aca="true" t="shared" si="12" ref="H249:I252">H250</f>
        <v>145</v>
      </c>
      <c r="I249" s="376">
        <f t="shared" si="12"/>
        <v>145</v>
      </c>
    </row>
    <row r="250" spans="1:9" ht="26.25">
      <c r="A250" s="369" t="s">
        <v>107</v>
      </c>
      <c r="B250" s="269" t="s">
        <v>62</v>
      </c>
      <c r="C250" s="269" t="s">
        <v>191</v>
      </c>
      <c r="D250" s="269" t="s">
        <v>190</v>
      </c>
      <c r="E250" s="269"/>
      <c r="F250" s="269"/>
      <c r="G250" s="308"/>
      <c r="H250" s="309">
        <f t="shared" si="12"/>
        <v>145</v>
      </c>
      <c r="I250" s="377">
        <f t="shared" si="12"/>
        <v>145</v>
      </c>
    </row>
    <row r="251" spans="1:9" ht="26.25">
      <c r="A251" s="369" t="s">
        <v>108</v>
      </c>
      <c r="B251" s="269" t="s">
        <v>62</v>
      </c>
      <c r="C251" s="269" t="s">
        <v>191</v>
      </c>
      <c r="D251" s="269" t="s">
        <v>190</v>
      </c>
      <c r="E251" s="269" t="s">
        <v>84</v>
      </c>
      <c r="F251" s="269"/>
      <c r="G251" s="308"/>
      <c r="H251" s="309">
        <f t="shared" si="12"/>
        <v>145</v>
      </c>
      <c r="I251" s="377">
        <f t="shared" si="12"/>
        <v>145</v>
      </c>
    </row>
    <row r="252" spans="1:9" ht="15.75">
      <c r="A252" s="378" t="s">
        <v>27</v>
      </c>
      <c r="B252" s="269" t="s">
        <v>62</v>
      </c>
      <c r="C252" s="269" t="s">
        <v>191</v>
      </c>
      <c r="D252" s="269" t="s">
        <v>190</v>
      </c>
      <c r="E252" s="269" t="s">
        <v>174</v>
      </c>
      <c r="F252" s="269"/>
      <c r="G252" s="308"/>
      <c r="H252" s="309">
        <f t="shared" si="12"/>
        <v>145</v>
      </c>
      <c r="I252" s="377">
        <f t="shared" si="12"/>
        <v>145</v>
      </c>
    </row>
    <row r="253" spans="1:9" ht="12" customHeight="1">
      <c r="A253" s="378" t="s">
        <v>172</v>
      </c>
      <c r="B253" s="269" t="s">
        <v>62</v>
      </c>
      <c r="C253" s="269" t="s">
        <v>191</v>
      </c>
      <c r="D253" s="269" t="s">
        <v>190</v>
      </c>
      <c r="E253" s="269" t="s">
        <v>174</v>
      </c>
      <c r="F253" s="269" t="s">
        <v>86</v>
      </c>
      <c r="G253" s="308" t="s">
        <v>86</v>
      </c>
      <c r="H253" s="309">
        <v>145</v>
      </c>
      <c r="I253" s="377">
        <v>145</v>
      </c>
    </row>
    <row r="254" spans="1:9" ht="15.75" hidden="1">
      <c r="A254" s="223" t="s">
        <v>43</v>
      </c>
      <c r="B254" s="221" t="s">
        <v>62</v>
      </c>
      <c r="C254" s="137" t="s">
        <v>205</v>
      </c>
      <c r="D254" s="32" t="s">
        <v>126</v>
      </c>
      <c r="E254" s="17"/>
      <c r="F254" s="32"/>
      <c r="G254" s="345"/>
      <c r="H254" s="346">
        <f>H255</f>
        <v>0</v>
      </c>
      <c r="I254" s="360"/>
    </row>
    <row r="255" spans="1:9" ht="15.75" hidden="1">
      <c r="A255" s="27" t="s">
        <v>44</v>
      </c>
      <c r="B255" s="42" t="s">
        <v>62</v>
      </c>
      <c r="C255" s="22" t="s">
        <v>205</v>
      </c>
      <c r="D255" s="29" t="s">
        <v>200</v>
      </c>
      <c r="E255" s="22"/>
      <c r="F255" s="29"/>
      <c r="G255" s="308"/>
      <c r="H255" s="351">
        <f>H256</f>
        <v>0</v>
      </c>
      <c r="I255" s="349"/>
    </row>
    <row r="256" spans="1:9" ht="15.75" hidden="1">
      <c r="A256" s="25" t="s">
        <v>131</v>
      </c>
      <c r="B256" s="43" t="s">
        <v>62</v>
      </c>
      <c r="C256" s="18" t="s">
        <v>205</v>
      </c>
      <c r="D256" s="30" t="s">
        <v>200</v>
      </c>
      <c r="E256" s="18" t="s">
        <v>132</v>
      </c>
      <c r="F256" s="30"/>
      <c r="G256" s="308"/>
      <c r="H256" s="351">
        <f>H257</f>
        <v>0</v>
      </c>
      <c r="I256" s="349"/>
    </row>
    <row r="257" spans="1:9" ht="26.25" hidden="1">
      <c r="A257" s="47" t="s">
        <v>376</v>
      </c>
      <c r="B257" s="44" t="s">
        <v>62</v>
      </c>
      <c r="C257" s="20" t="s">
        <v>205</v>
      </c>
      <c r="D257" s="31" t="s">
        <v>200</v>
      </c>
      <c r="E257" s="20" t="s">
        <v>262</v>
      </c>
      <c r="F257" s="31"/>
      <c r="G257" s="344"/>
      <c r="H257" s="351">
        <f>H258</f>
        <v>0</v>
      </c>
      <c r="I257" s="349"/>
    </row>
    <row r="258" spans="1:9" ht="15.75" hidden="1">
      <c r="A258" s="27" t="s">
        <v>347</v>
      </c>
      <c r="B258" s="44" t="s">
        <v>62</v>
      </c>
      <c r="C258" s="20" t="s">
        <v>205</v>
      </c>
      <c r="D258" s="31" t="s">
        <v>200</v>
      </c>
      <c r="E258" s="20" t="s">
        <v>262</v>
      </c>
      <c r="F258" s="31"/>
      <c r="G258" s="343" t="s">
        <v>4</v>
      </c>
      <c r="H258" s="351">
        <f>170-170</f>
        <v>0</v>
      </c>
      <c r="I258" s="350"/>
    </row>
    <row r="259" spans="1:9" ht="15.75">
      <c r="A259" s="119" t="s">
        <v>6</v>
      </c>
      <c r="B259" s="108" t="s">
        <v>62</v>
      </c>
      <c r="C259" s="105" t="s">
        <v>194</v>
      </c>
      <c r="D259" s="114" t="s">
        <v>126</v>
      </c>
      <c r="E259" s="105"/>
      <c r="F259" s="114"/>
      <c r="G259" s="289"/>
      <c r="H259" s="304">
        <f>H265+H277+H281+H260</f>
        <v>680247.8</v>
      </c>
      <c r="I259" s="86">
        <f>I265+I277+I281+I260</f>
        <v>253714.5</v>
      </c>
    </row>
    <row r="260" spans="1:9" ht="15.75">
      <c r="A260" s="113" t="s">
        <v>7</v>
      </c>
      <c r="B260" s="107" t="s">
        <v>62</v>
      </c>
      <c r="C260" s="17" t="s">
        <v>194</v>
      </c>
      <c r="D260" s="32" t="s">
        <v>186</v>
      </c>
      <c r="E260" s="17"/>
      <c r="F260" s="32"/>
      <c r="G260" s="287"/>
      <c r="H260" s="300">
        <f>H261</f>
        <v>263061.5</v>
      </c>
      <c r="I260" s="90">
        <f>I261</f>
        <v>2700</v>
      </c>
    </row>
    <row r="261" spans="1:9" ht="15.75">
      <c r="A261" s="113" t="s">
        <v>7</v>
      </c>
      <c r="B261" s="107" t="s">
        <v>62</v>
      </c>
      <c r="C261" s="17" t="s">
        <v>194</v>
      </c>
      <c r="D261" s="32" t="s">
        <v>186</v>
      </c>
      <c r="E261" s="17"/>
      <c r="F261" s="32"/>
      <c r="G261" s="287"/>
      <c r="H261" s="300">
        <f aca="true" t="shared" si="13" ref="H261:I263">H262</f>
        <v>263061.5</v>
      </c>
      <c r="I261" s="90">
        <f t="shared" si="13"/>
        <v>2700</v>
      </c>
    </row>
    <row r="262" spans="1:9" ht="15.75">
      <c r="A262" s="25" t="s">
        <v>8</v>
      </c>
      <c r="B262" s="43" t="s">
        <v>62</v>
      </c>
      <c r="C262" s="18" t="s">
        <v>194</v>
      </c>
      <c r="D262" s="30" t="s">
        <v>186</v>
      </c>
      <c r="E262" s="18" t="s">
        <v>26</v>
      </c>
      <c r="F262" s="30"/>
      <c r="G262" s="286"/>
      <c r="H262" s="302">
        <f t="shared" si="13"/>
        <v>263061.5</v>
      </c>
      <c r="I262" s="38">
        <f t="shared" si="13"/>
        <v>2700</v>
      </c>
    </row>
    <row r="263" spans="1:9" s="23" customFormat="1" ht="15.75">
      <c r="A263" s="26" t="s">
        <v>27</v>
      </c>
      <c r="B263" s="43" t="s">
        <v>62</v>
      </c>
      <c r="C263" s="18" t="s">
        <v>194</v>
      </c>
      <c r="D263" s="30" t="s">
        <v>186</v>
      </c>
      <c r="E263" s="18" t="s">
        <v>210</v>
      </c>
      <c r="F263" s="30"/>
      <c r="G263" s="290"/>
      <c r="H263" s="302">
        <f t="shared" si="13"/>
        <v>263061.5</v>
      </c>
      <c r="I263" s="38">
        <f t="shared" si="13"/>
        <v>2700</v>
      </c>
    </row>
    <row r="264" spans="1:9" ht="15.75">
      <c r="A264" s="26" t="s">
        <v>172</v>
      </c>
      <c r="B264" s="44" t="s">
        <v>62</v>
      </c>
      <c r="C264" s="20" t="s">
        <v>194</v>
      </c>
      <c r="D264" s="31" t="s">
        <v>186</v>
      </c>
      <c r="E264" s="18" t="s">
        <v>210</v>
      </c>
      <c r="F264" s="30"/>
      <c r="G264" s="285" t="s">
        <v>86</v>
      </c>
      <c r="H264" s="302">
        <f>247399.9+25858.3+38000+2700-3250.5+22226.1+8500+20-38000-38000+145-878.5+4244.9-145-1300-9606.1+5147.4</f>
        <v>263061.5</v>
      </c>
      <c r="I264" s="38">
        <f>38000+2700-38000+145-145</f>
        <v>2700</v>
      </c>
    </row>
    <row r="265" spans="1:9" ht="15.75">
      <c r="A265" s="119" t="s">
        <v>9</v>
      </c>
      <c r="B265" s="110" t="s">
        <v>62</v>
      </c>
      <c r="C265" s="106" t="s">
        <v>194</v>
      </c>
      <c r="D265" s="116" t="s">
        <v>187</v>
      </c>
      <c r="E265" s="105"/>
      <c r="F265" s="114"/>
      <c r="G265" s="289"/>
      <c r="H265" s="304">
        <f>H266+H269+H272</f>
        <v>372087.7</v>
      </c>
      <c r="I265" s="86">
        <f>I266+I269+I272</f>
        <v>240989</v>
      </c>
    </row>
    <row r="266" spans="1:9" ht="15.75">
      <c r="A266" s="224" t="s">
        <v>110</v>
      </c>
      <c r="B266" s="44" t="s">
        <v>62</v>
      </c>
      <c r="C266" s="20" t="s">
        <v>194</v>
      </c>
      <c r="D266" s="31" t="s">
        <v>187</v>
      </c>
      <c r="E266" s="20" t="s">
        <v>28</v>
      </c>
      <c r="F266" s="31"/>
      <c r="G266" s="286"/>
      <c r="H266" s="302">
        <f>H268</f>
        <v>325059.9</v>
      </c>
      <c r="I266" s="38">
        <f>I268</f>
        <v>237208</v>
      </c>
    </row>
    <row r="267" spans="1:9" s="23" customFormat="1" ht="15.75">
      <c r="A267" s="26" t="s">
        <v>27</v>
      </c>
      <c r="B267" s="44" t="s">
        <v>62</v>
      </c>
      <c r="C267" s="20" t="s">
        <v>194</v>
      </c>
      <c r="D267" s="31" t="s">
        <v>187</v>
      </c>
      <c r="E267" s="20" t="s">
        <v>211</v>
      </c>
      <c r="F267" s="31"/>
      <c r="G267" s="286"/>
      <c r="H267" s="302">
        <f>H268</f>
        <v>325059.9</v>
      </c>
      <c r="I267" s="38">
        <f>I268</f>
        <v>237208</v>
      </c>
    </row>
    <row r="268" spans="1:9" ht="15.75">
      <c r="A268" s="25" t="s">
        <v>172</v>
      </c>
      <c r="B268" s="43" t="s">
        <v>62</v>
      </c>
      <c r="C268" s="18" t="s">
        <v>194</v>
      </c>
      <c r="D268" s="30" t="s">
        <v>187</v>
      </c>
      <c r="E268" s="18" t="s">
        <v>211</v>
      </c>
      <c r="F268" s="30"/>
      <c r="G268" s="286" t="s">
        <v>86</v>
      </c>
      <c r="H268" s="302">
        <f>27620.2+16768.7+7802+284369+3670+14115+2791+17900+250-5000-48701+7-9939+1636-11.4+5831.2+26.4+40+2366.9+6.8-7950+1396.8+3341.8+6722.5</f>
        <v>325059.9</v>
      </c>
      <c r="I268" s="38">
        <f>7802+284369+3670-48701+7-9939</f>
        <v>237208</v>
      </c>
    </row>
    <row r="269" spans="1:9" ht="15.75">
      <c r="A269" s="33" t="s">
        <v>31</v>
      </c>
      <c r="B269" s="15" t="s">
        <v>62</v>
      </c>
      <c r="C269" s="18" t="s">
        <v>194</v>
      </c>
      <c r="D269" s="30" t="s">
        <v>187</v>
      </c>
      <c r="E269" s="14" t="s">
        <v>32</v>
      </c>
      <c r="F269" s="9"/>
      <c r="G269" s="286"/>
      <c r="H269" s="302">
        <f>H270</f>
        <v>43246.8</v>
      </c>
      <c r="I269" s="38">
        <f>I270</f>
        <v>0</v>
      </c>
    </row>
    <row r="270" spans="1:9" ht="15.75">
      <c r="A270" s="26" t="s">
        <v>27</v>
      </c>
      <c r="B270" s="44" t="s">
        <v>62</v>
      </c>
      <c r="C270" s="18" t="s">
        <v>194</v>
      </c>
      <c r="D270" s="30" t="s">
        <v>187</v>
      </c>
      <c r="E270" s="20" t="s">
        <v>212</v>
      </c>
      <c r="F270" s="9"/>
      <c r="G270" s="290"/>
      <c r="H270" s="302">
        <f>H271</f>
        <v>43246.8</v>
      </c>
      <c r="I270" s="38">
        <f>I271</f>
        <v>0</v>
      </c>
    </row>
    <row r="271" spans="1:9" ht="15.75">
      <c r="A271" s="25" t="s">
        <v>172</v>
      </c>
      <c r="B271" s="44" t="s">
        <v>62</v>
      </c>
      <c r="C271" s="18" t="s">
        <v>194</v>
      </c>
      <c r="D271" s="30" t="s">
        <v>187</v>
      </c>
      <c r="E271" s="20" t="s">
        <v>212</v>
      </c>
      <c r="F271" s="9"/>
      <c r="G271" s="286" t="s">
        <v>86</v>
      </c>
      <c r="H271" s="302">
        <f>40112.6+486+1600+49.4-750+1498.5+250.3</f>
        <v>43246.8</v>
      </c>
      <c r="I271" s="38"/>
    </row>
    <row r="272" spans="1:9" ht="15.75">
      <c r="A272" s="26" t="s">
        <v>125</v>
      </c>
      <c r="B272" s="44" t="s">
        <v>62</v>
      </c>
      <c r="C272" s="18" t="s">
        <v>194</v>
      </c>
      <c r="D272" s="30" t="s">
        <v>187</v>
      </c>
      <c r="E272" s="20" t="s">
        <v>95</v>
      </c>
      <c r="F272" s="9"/>
      <c r="G272" s="286"/>
      <c r="H272" s="302">
        <f>H273+H275</f>
        <v>3781</v>
      </c>
      <c r="I272" s="38">
        <f>I273</f>
        <v>3781</v>
      </c>
    </row>
    <row r="273" spans="1:9" ht="15.75">
      <c r="A273" s="26" t="s">
        <v>97</v>
      </c>
      <c r="B273" s="44" t="s">
        <v>62</v>
      </c>
      <c r="C273" s="18" t="s">
        <v>194</v>
      </c>
      <c r="D273" s="30" t="s">
        <v>187</v>
      </c>
      <c r="E273" s="20" t="s">
        <v>213</v>
      </c>
      <c r="F273" s="9"/>
      <c r="G273" s="290"/>
      <c r="H273" s="302">
        <f>H274</f>
        <v>3781</v>
      </c>
      <c r="I273" s="38">
        <f>I274</f>
        <v>3781</v>
      </c>
    </row>
    <row r="274" spans="1:9" ht="15" customHeight="1">
      <c r="A274" s="25" t="s">
        <v>172</v>
      </c>
      <c r="B274" s="44" t="s">
        <v>62</v>
      </c>
      <c r="C274" s="18" t="s">
        <v>194</v>
      </c>
      <c r="D274" s="31" t="s">
        <v>187</v>
      </c>
      <c r="E274" s="20" t="s">
        <v>213</v>
      </c>
      <c r="F274" s="9"/>
      <c r="G274" s="286" t="s">
        <v>86</v>
      </c>
      <c r="H274" s="302">
        <v>3781</v>
      </c>
      <c r="I274" s="38">
        <v>3781</v>
      </c>
    </row>
    <row r="275" spans="1:9" ht="26.25" hidden="1">
      <c r="A275" s="46" t="s">
        <v>422</v>
      </c>
      <c r="B275" s="44" t="s">
        <v>62</v>
      </c>
      <c r="C275" s="18" t="s">
        <v>194</v>
      </c>
      <c r="D275" s="31" t="s">
        <v>187</v>
      </c>
      <c r="E275" s="20" t="s">
        <v>423</v>
      </c>
      <c r="F275" s="9"/>
      <c r="G275" s="286"/>
      <c r="H275" s="302">
        <f>H276</f>
        <v>0</v>
      </c>
      <c r="I275" s="38"/>
    </row>
    <row r="276" spans="1:9" ht="15.75" hidden="1">
      <c r="A276" s="26" t="s">
        <v>172</v>
      </c>
      <c r="B276" s="44" t="s">
        <v>62</v>
      </c>
      <c r="C276" s="18" t="s">
        <v>194</v>
      </c>
      <c r="D276" s="31" t="s">
        <v>187</v>
      </c>
      <c r="E276" s="20" t="s">
        <v>423</v>
      </c>
      <c r="F276" s="9" t="s">
        <v>86</v>
      </c>
      <c r="G276" s="286" t="s">
        <v>86</v>
      </c>
      <c r="H276" s="302">
        <f>6.8-6.8</f>
        <v>0</v>
      </c>
      <c r="I276" s="38"/>
    </row>
    <row r="277" spans="1:9" ht="15.75">
      <c r="A277" s="115" t="s">
        <v>29</v>
      </c>
      <c r="B277" s="110" t="s">
        <v>62</v>
      </c>
      <c r="C277" s="105" t="s">
        <v>194</v>
      </c>
      <c r="D277" s="116" t="s">
        <v>194</v>
      </c>
      <c r="E277" s="105"/>
      <c r="F277" s="114"/>
      <c r="G277" s="289"/>
      <c r="H277" s="304">
        <f aca="true" t="shared" si="14" ref="H277:I279">H278</f>
        <v>2013.7</v>
      </c>
      <c r="I277" s="86">
        <f t="shared" si="14"/>
        <v>0</v>
      </c>
    </row>
    <row r="278" spans="1:9" ht="15.75">
      <c r="A278" s="47" t="s">
        <v>215</v>
      </c>
      <c r="B278" s="44" t="s">
        <v>62</v>
      </c>
      <c r="C278" s="18" t="s">
        <v>194</v>
      </c>
      <c r="D278" s="31" t="s">
        <v>194</v>
      </c>
      <c r="E278" s="20" t="s">
        <v>30</v>
      </c>
      <c r="F278" s="9"/>
      <c r="G278" s="286"/>
      <c r="H278" s="302">
        <f t="shared" si="14"/>
        <v>2013.7</v>
      </c>
      <c r="I278" s="38">
        <f t="shared" si="14"/>
        <v>0</v>
      </c>
    </row>
    <row r="279" spans="1:9" ht="15.75">
      <c r="A279" s="25" t="s">
        <v>216</v>
      </c>
      <c r="B279" s="44" t="s">
        <v>62</v>
      </c>
      <c r="C279" s="18" t="s">
        <v>194</v>
      </c>
      <c r="D279" s="31" t="s">
        <v>194</v>
      </c>
      <c r="E279" s="20" t="s">
        <v>217</v>
      </c>
      <c r="F279" s="9"/>
      <c r="G279" s="290"/>
      <c r="H279" s="302">
        <f t="shared" si="14"/>
        <v>2013.7</v>
      </c>
      <c r="I279" s="38">
        <f t="shared" si="14"/>
        <v>0</v>
      </c>
    </row>
    <row r="280" spans="1:9" ht="15.75">
      <c r="A280" s="26" t="s">
        <v>172</v>
      </c>
      <c r="B280" s="44" t="s">
        <v>62</v>
      </c>
      <c r="C280" s="18" t="s">
        <v>194</v>
      </c>
      <c r="D280" s="31" t="s">
        <v>194</v>
      </c>
      <c r="E280" s="20" t="s">
        <v>217</v>
      </c>
      <c r="F280" s="9"/>
      <c r="G280" s="286" t="s">
        <v>86</v>
      </c>
      <c r="H280" s="302">
        <f>2002.3+11.4</f>
        <v>2013.7</v>
      </c>
      <c r="I280" s="38"/>
    </row>
    <row r="281" spans="1:9" ht="15.75">
      <c r="A281" s="119" t="s">
        <v>33</v>
      </c>
      <c r="B281" s="108" t="s">
        <v>62</v>
      </c>
      <c r="C281" s="105" t="s">
        <v>194</v>
      </c>
      <c r="D281" s="114" t="s">
        <v>192</v>
      </c>
      <c r="E281" s="105"/>
      <c r="F281" s="114"/>
      <c r="G281" s="289"/>
      <c r="H281" s="304">
        <f>H294+H282+H297+H285</f>
        <v>43084.9</v>
      </c>
      <c r="I281" s="86">
        <f>I294+I282+I297+I285</f>
        <v>10025.5</v>
      </c>
    </row>
    <row r="282" spans="1:9" s="23" customFormat="1" ht="15.75">
      <c r="A282" s="47" t="s">
        <v>147</v>
      </c>
      <c r="B282" s="43" t="s">
        <v>62</v>
      </c>
      <c r="C282" s="18" t="s">
        <v>194</v>
      </c>
      <c r="D282" s="30" t="s">
        <v>192</v>
      </c>
      <c r="E282" s="18" t="s">
        <v>277</v>
      </c>
      <c r="F282" s="30"/>
      <c r="G282" s="286"/>
      <c r="H282" s="302">
        <f>H283</f>
        <v>12119.699999999999</v>
      </c>
      <c r="I282" s="38">
        <f>I283</f>
        <v>0</v>
      </c>
    </row>
    <row r="283" spans="1:9" ht="15.75">
      <c r="A283" s="27" t="s">
        <v>50</v>
      </c>
      <c r="B283" s="43" t="s">
        <v>62</v>
      </c>
      <c r="C283" s="18" t="s">
        <v>194</v>
      </c>
      <c r="D283" s="30" t="s">
        <v>192</v>
      </c>
      <c r="E283" s="18" t="s">
        <v>279</v>
      </c>
      <c r="F283" s="30"/>
      <c r="G283" s="286"/>
      <c r="H283" s="302">
        <f>H284</f>
        <v>12119.699999999999</v>
      </c>
      <c r="I283" s="38">
        <f>I284</f>
        <v>0</v>
      </c>
    </row>
    <row r="284" spans="1:9" ht="15.75">
      <c r="A284" s="27" t="s">
        <v>259</v>
      </c>
      <c r="B284" s="43" t="s">
        <v>62</v>
      </c>
      <c r="C284" s="18" t="s">
        <v>194</v>
      </c>
      <c r="D284" s="30" t="s">
        <v>192</v>
      </c>
      <c r="E284" s="18" t="s">
        <v>279</v>
      </c>
      <c r="F284" s="30"/>
      <c r="G284" s="286" t="s">
        <v>278</v>
      </c>
      <c r="H284" s="302">
        <f>13718.1-935.6-740.6+77.8</f>
        <v>12119.699999999999</v>
      </c>
      <c r="I284" s="38"/>
    </row>
    <row r="285" spans="1:9" ht="15.75">
      <c r="A285" s="26" t="s">
        <v>270</v>
      </c>
      <c r="B285" s="44" t="s">
        <v>62</v>
      </c>
      <c r="C285" s="18" t="s">
        <v>194</v>
      </c>
      <c r="D285" s="30" t="s">
        <v>192</v>
      </c>
      <c r="E285" s="20" t="s">
        <v>271</v>
      </c>
      <c r="F285" s="9"/>
      <c r="G285" s="286"/>
      <c r="H285" s="302">
        <f>H286+H288+H290+H292</f>
        <v>9312</v>
      </c>
      <c r="I285" s="38">
        <f>I286</f>
        <v>9312</v>
      </c>
    </row>
    <row r="286" spans="1:9" s="23" customFormat="1" ht="15.75">
      <c r="A286" s="26" t="s">
        <v>273</v>
      </c>
      <c r="B286" s="44" t="s">
        <v>62</v>
      </c>
      <c r="C286" s="18" t="s">
        <v>194</v>
      </c>
      <c r="D286" s="30" t="s">
        <v>192</v>
      </c>
      <c r="E286" s="20" t="s">
        <v>272</v>
      </c>
      <c r="F286" s="9"/>
      <c r="G286" s="286"/>
      <c r="H286" s="302">
        <f>H287</f>
        <v>9312</v>
      </c>
      <c r="I286" s="38">
        <f>I287</f>
        <v>9312</v>
      </c>
    </row>
    <row r="287" spans="1:9" ht="13.5" customHeight="1">
      <c r="A287" s="26" t="s">
        <v>274</v>
      </c>
      <c r="B287" s="44" t="s">
        <v>62</v>
      </c>
      <c r="C287" s="18" t="s">
        <v>194</v>
      </c>
      <c r="D287" s="30" t="s">
        <v>192</v>
      </c>
      <c r="E287" s="20" t="s">
        <v>272</v>
      </c>
      <c r="F287" s="9"/>
      <c r="G287" s="286" t="s">
        <v>275</v>
      </c>
      <c r="H287" s="302">
        <f>12783-2940-531</f>
        <v>9312</v>
      </c>
      <c r="I287" s="38">
        <f>12783-2940-531</f>
        <v>9312</v>
      </c>
    </row>
    <row r="288" spans="1:9" ht="15.75" hidden="1">
      <c r="A288" s="26" t="s">
        <v>415</v>
      </c>
      <c r="B288" s="44" t="s">
        <v>62</v>
      </c>
      <c r="C288" s="18" t="s">
        <v>194</v>
      </c>
      <c r="D288" s="30" t="s">
        <v>192</v>
      </c>
      <c r="E288" s="20" t="s">
        <v>416</v>
      </c>
      <c r="F288" s="9"/>
      <c r="G288" s="286"/>
      <c r="H288" s="302">
        <f>H289</f>
        <v>0</v>
      </c>
      <c r="I288" s="38"/>
    </row>
    <row r="289" spans="1:9" ht="0" customHeight="1" hidden="1">
      <c r="A289" s="26" t="s">
        <v>172</v>
      </c>
      <c r="B289" s="44" t="s">
        <v>62</v>
      </c>
      <c r="C289" s="18" t="s">
        <v>194</v>
      </c>
      <c r="D289" s="30" t="s">
        <v>192</v>
      </c>
      <c r="E289" s="20" t="s">
        <v>417</v>
      </c>
      <c r="F289" s="9" t="s">
        <v>86</v>
      </c>
      <c r="G289" s="286" t="s">
        <v>86</v>
      </c>
      <c r="H289" s="302">
        <f>26.4-26.4</f>
        <v>0</v>
      </c>
      <c r="I289" s="38"/>
    </row>
    <row r="290" spans="1:9" ht="0" customHeight="1" hidden="1">
      <c r="A290" s="26" t="s">
        <v>418</v>
      </c>
      <c r="B290" s="44" t="s">
        <v>62</v>
      </c>
      <c r="C290" s="18" t="s">
        <v>194</v>
      </c>
      <c r="D290" s="30" t="s">
        <v>192</v>
      </c>
      <c r="E290" s="20" t="s">
        <v>419</v>
      </c>
      <c r="F290" s="9"/>
      <c r="G290" s="286"/>
      <c r="H290" s="302">
        <f>H291</f>
        <v>0</v>
      </c>
      <c r="I290" s="38"/>
    </row>
    <row r="291" spans="1:9" ht="15.75" hidden="1">
      <c r="A291" s="26" t="s">
        <v>172</v>
      </c>
      <c r="B291" s="44" t="s">
        <v>62</v>
      </c>
      <c r="C291" s="18" t="s">
        <v>194</v>
      </c>
      <c r="D291" s="30" t="s">
        <v>192</v>
      </c>
      <c r="E291" s="20" t="s">
        <v>419</v>
      </c>
      <c r="F291" s="9" t="s">
        <v>86</v>
      </c>
      <c r="G291" s="286" t="s">
        <v>86</v>
      </c>
      <c r="H291" s="302">
        <f>40-40</f>
        <v>0</v>
      </c>
      <c r="I291" s="38"/>
    </row>
    <row r="292" spans="1:9" ht="20.25" customHeight="1" hidden="1">
      <c r="A292" s="46" t="s">
        <v>420</v>
      </c>
      <c r="B292" s="44" t="s">
        <v>62</v>
      </c>
      <c r="C292" s="18" t="s">
        <v>194</v>
      </c>
      <c r="D292" s="30" t="s">
        <v>192</v>
      </c>
      <c r="E292" s="20" t="s">
        <v>421</v>
      </c>
      <c r="F292" s="9"/>
      <c r="G292" s="286"/>
      <c r="H292" s="302">
        <f>H293</f>
        <v>0</v>
      </c>
      <c r="I292" s="38"/>
    </row>
    <row r="293" spans="1:9" ht="15.75" hidden="1">
      <c r="A293" s="26" t="s">
        <v>172</v>
      </c>
      <c r="B293" s="44" t="s">
        <v>62</v>
      </c>
      <c r="C293" s="18" t="s">
        <v>194</v>
      </c>
      <c r="D293" s="30" t="s">
        <v>192</v>
      </c>
      <c r="E293" s="20" t="s">
        <v>421</v>
      </c>
      <c r="F293" s="9" t="s">
        <v>86</v>
      </c>
      <c r="G293" s="286" t="s">
        <v>86</v>
      </c>
      <c r="H293" s="302">
        <f>2366.9-2366.9</f>
        <v>0</v>
      </c>
      <c r="I293" s="38"/>
    </row>
    <row r="294" spans="1:9" ht="51.75">
      <c r="A294" s="46" t="s">
        <v>111</v>
      </c>
      <c r="B294" s="43" t="s">
        <v>62</v>
      </c>
      <c r="C294" s="18" t="s">
        <v>194</v>
      </c>
      <c r="D294" s="30" t="s">
        <v>192</v>
      </c>
      <c r="E294" s="18" t="s">
        <v>40</v>
      </c>
      <c r="F294" s="30"/>
      <c r="G294" s="286"/>
      <c r="H294" s="302">
        <f>H295</f>
        <v>11323.800000000001</v>
      </c>
      <c r="I294" s="38">
        <f>I295</f>
        <v>713.5</v>
      </c>
    </row>
    <row r="295" spans="1:9" ht="15.75">
      <c r="A295" s="25" t="s">
        <v>27</v>
      </c>
      <c r="B295" s="44" t="s">
        <v>62</v>
      </c>
      <c r="C295" s="18" t="s">
        <v>194</v>
      </c>
      <c r="D295" s="30" t="s">
        <v>192</v>
      </c>
      <c r="E295" s="20" t="s">
        <v>218</v>
      </c>
      <c r="F295" s="31"/>
      <c r="G295" s="288"/>
      <c r="H295" s="303">
        <f>H296</f>
        <v>11323.800000000001</v>
      </c>
      <c r="I295" s="36">
        <f>I296</f>
        <v>713.5</v>
      </c>
    </row>
    <row r="296" spans="1:9" ht="15.75">
      <c r="A296" s="26" t="s">
        <v>172</v>
      </c>
      <c r="B296" s="44" t="s">
        <v>62</v>
      </c>
      <c r="C296" s="18" t="s">
        <v>194</v>
      </c>
      <c r="D296" s="30" t="s">
        <v>192</v>
      </c>
      <c r="E296" s="20" t="s">
        <v>218</v>
      </c>
      <c r="F296" s="31"/>
      <c r="G296" s="286" t="s">
        <v>86</v>
      </c>
      <c r="H296" s="303">
        <f>11918.1+749+424-35.5-1743.4+11.6</f>
        <v>11323.800000000001</v>
      </c>
      <c r="I296" s="36">
        <f>749-35.5</f>
        <v>713.5</v>
      </c>
    </row>
    <row r="297" spans="1:9" ht="15.75" customHeight="1">
      <c r="A297" s="25" t="s">
        <v>131</v>
      </c>
      <c r="B297" s="44" t="s">
        <v>62</v>
      </c>
      <c r="C297" s="18" t="s">
        <v>194</v>
      </c>
      <c r="D297" s="30" t="s">
        <v>192</v>
      </c>
      <c r="E297" s="20" t="s">
        <v>132</v>
      </c>
      <c r="F297" s="31"/>
      <c r="G297" s="286"/>
      <c r="H297" s="303">
        <f>H298</f>
        <v>10329.4</v>
      </c>
      <c r="I297" s="36">
        <f>I298</f>
        <v>0</v>
      </c>
    </row>
    <row r="298" spans="1:9" ht="26.25">
      <c r="A298" s="47" t="s">
        <v>219</v>
      </c>
      <c r="B298" s="44" t="s">
        <v>62</v>
      </c>
      <c r="C298" s="18" t="s">
        <v>194</v>
      </c>
      <c r="D298" s="30" t="s">
        <v>192</v>
      </c>
      <c r="E298" s="20" t="s">
        <v>220</v>
      </c>
      <c r="F298" s="31"/>
      <c r="G298" s="286"/>
      <c r="H298" s="303">
        <f>H299</f>
        <v>10329.4</v>
      </c>
      <c r="I298" s="36">
        <f>I299</f>
        <v>0</v>
      </c>
    </row>
    <row r="299" spans="1:9" ht="21" customHeight="1">
      <c r="A299" s="27" t="s">
        <v>259</v>
      </c>
      <c r="B299" s="44" t="s">
        <v>62</v>
      </c>
      <c r="C299" s="18" t="s">
        <v>194</v>
      </c>
      <c r="D299" s="30" t="s">
        <v>192</v>
      </c>
      <c r="E299" s="20" t="s">
        <v>220</v>
      </c>
      <c r="F299" s="31"/>
      <c r="G299" s="286" t="s">
        <v>278</v>
      </c>
      <c r="H299" s="303">
        <f>3250.5+11000-2000+878.5-3000+200.4</f>
        <v>10329.4</v>
      </c>
      <c r="I299" s="305"/>
    </row>
    <row r="300" spans="1:9" ht="15.75">
      <c r="A300" s="119" t="s">
        <v>5</v>
      </c>
      <c r="B300" s="108" t="s">
        <v>62</v>
      </c>
      <c r="C300" s="105" t="s">
        <v>193</v>
      </c>
      <c r="D300" s="114" t="s">
        <v>126</v>
      </c>
      <c r="E300" s="105"/>
      <c r="F300" s="114"/>
      <c r="G300" s="289"/>
      <c r="H300" s="304">
        <f aca="true" t="shared" si="15" ref="H300:I303">H301</f>
        <v>8455.3</v>
      </c>
      <c r="I300" s="86">
        <f t="shared" si="15"/>
        <v>7906.5</v>
      </c>
    </row>
    <row r="301" spans="1:9" ht="15.75">
      <c r="A301" s="370" t="s">
        <v>331</v>
      </c>
      <c r="B301" s="269" t="s">
        <v>62</v>
      </c>
      <c r="C301" s="269" t="s">
        <v>193</v>
      </c>
      <c r="D301" s="269" t="s">
        <v>188</v>
      </c>
      <c r="E301" s="269"/>
      <c r="F301" s="269"/>
      <c r="G301" s="308"/>
      <c r="H301" s="347">
        <f t="shared" si="15"/>
        <v>8455.3</v>
      </c>
      <c r="I301" s="38">
        <f t="shared" si="15"/>
        <v>7906.5</v>
      </c>
    </row>
    <row r="302" spans="1:9" ht="15.75">
      <c r="A302" s="27" t="s">
        <v>125</v>
      </c>
      <c r="B302" s="269" t="s">
        <v>62</v>
      </c>
      <c r="C302" s="269" t="s">
        <v>193</v>
      </c>
      <c r="D302" s="269" t="s">
        <v>188</v>
      </c>
      <c r="E302" s="269" t="s">
        <v>95</v>
      </c>
      <c r="F302" s="269"/>
      <c r="G302" s="308"/>
      <c r="H302" s="347">
        <f t="shared" si="15"/>
        <v>8455.3</v>
      </c>
      <c r="I302" s="38">
        <f t="shared" si="15"/>
        <v>7906.5</v>
      </c>
    </row>
    <row r="303" spans="1:9" ht="51.75">
      <c r="A303" s="35" t="s">
        <v>282</v>
      </c>
      <c r="B303" s="269" t="s">
        <v>62</v>
      </c>
      <c r="C303" s="269" t="s">
        <v>193</v>
      </c>
      <c r="D303" s="269" t="s">
        <v>188</v>
      </c>
      <c r="E303" s="269" t="s">
        <v>281</v>
      </c>
      <c r="F303" s="269"/>
      <c r="G303" s="308"/>
      <c r="H303" s="347">
        <f t="shared" si="15"/>
        <v>8455.3</v>
      </c>
      <c r="I303" s="38">
        <f t="shared" si="15"/>
        <v>7906.5</v>
      </c>
    </row>
    <row r="304" spans="1:9" s="120" customFormat="1" ht="16.5" thickBot="1">
      <c r="A304" s="371" t="s">
        <v>168</v>
      </c>
      <c r="B304" s="310" t="s">
        <v>62</v>
      </c>
      <c r="C304" s="310" t="s">
        <v>193</v>
      </c>
      <c r="D304" s="310" t="s">
        <v>188</v>
      </c>
      <c r="E304" s="310" t="s">
        <v>281</v>
      </c>
      <c r="F304" s="310"/>
      <c r="G304" s="311" t="s">
        <v>51</v>
      </c>
      <c r="H304" s="348">
        <f>7108+548.8+763+35.5</f>
        <v>8455.3</v>
      </c>
      <c r="I304" s="307">
        <f>7108+763+35.5</f>
        <v>7906.5</v>
      </c>
    </row>
    <row r="305" spans="1:9" s="120" customFormat="1" ht="15" customHeight="1" thickBot="1">
      <c r="A305" s="79" t="s">
        <v>68</v>
      </c>
      <c r="B305" s="28" t="s">
        <v>67</v>
      </c>
      <c r="C305" s="21"/>
      <c r="D305" s="12"/>
      <c r="E305" s="21"/>
      <c r="F305" s="12"/>
      <c r="G305" s="55"/>
      <c r="H305" s="39">
        <f>H311+H316+H306</f>
        <v>122387.29999999999</v>
      </c>
      <c r="I305" s="39">
        <f>I311+I316</f>
        <v>3200</v>
      </c>
    </row>
    <row r="306" spans="1:9" s="120" customFormat="1" ht="15.75" hidden="1">
      <c r="A306" s="223" t="s">
        <v>43</v>
      </c>
      <c r="B306" s="221" t="s">
        <v>67</v>
      </c>
      <c r="C306" s="137" t="s">
        <v>205</v>
      </c>
      <c r="D306" s="32" t="s">
        <v>126</v>
      </c>
      <c r="E306" s="17"/>
      <c r="F306" s="32"/>
      <c r="G306" s="284"/>
      <c r="H306" s="352">
        <f>H307</f>
        <v>0</v>
      </c>
      <c r="I306" s="355"/>
    </row>
    <row r="307" spans="1:9" s="120" customFormat="1" ht="15.75" hidden="1">
      <c r="A307" s="27" t="s">
        <v>44</v>
      </c>
      <c r="B307" s="42" t="s">
        <v>67</v>
      </c>
      <c r="C307" s="22" t="s">
        <v>205</v>
      </c>
      <c r="D307" s="29" t="s">
        <v>200</v>
      </c>
      <c r="E307" s="22"/>
      <c r="F307" s="29"/>
      <c r="G307" s="286"/>
      <c r="H307" s="353">
        <f>H308</f>
        <v>0</v>
      </c>
      <c r="I307" s="86"/>
    </row>
    <row r="308" spans="1:9" s="120" customFormat="1" ht="15.75" hidden="1">
      <c r="A308" s="25" t="s">
        <v>131</v>
      </c>
      <c r="B308" s="43" t="s">
        <v>67</v>
      </c>
      <c r="C308" s="18" t="s">
        <v>205</v>
      </c>
      <c r="D308" s="30" t="s">
        <v>200</v>
      </c>
      <c r="E308" s="18" t="s">
        <v>132</v>
      </c>
      <c r="F308" s="30"/>
      <c r="G308" s="286"/>
      <c r="H308" s="353">
        <f>H309</f>
        <v>0</v>
      </c>
      <c r="I308" s="86"/>
    </row>
    <row r="309" spans="1:9" s="120" customFormat="1" ht="26.25" hidden="1">
      <c r="A309" s="47" t="s">
        <v>376</v>
      </c>
      <c r="B309" s="44" t="s">
        <v>67</v>
      </c>
      <c r="C309" s="20" t="s">
        <v>205</v>
      </c>
      <c r="D309" s="31" t="s">
        <v>200</v>
      </c>
      <c r="E309" s="20" t="s">
        <v>262</v>
      </c>
      <c r="F309" s="31"/>
      <c r="G309" s="290"/>
      <c r="H309" s="353">
        <f>H310</f>
        <v>0</v>
      </c>
      <c r="I309" s="86"/>
    </row>
    <row r="310" spans="1:9" s="120" customFormat="1" ht="0" customHeight="1" hidden="1">
      <c r="A310" s="27" t="s">
        <v>347</v>
      </c>
      <c r="B310" s="44" t="s">
        <v>67</v>
      </c>
      <c r="C310" s="20" t="s">
        <v>205</v>
      </c>
      <c r="D310" s="31" t="s">
        <v>200</v>
      </c>
      <c r="E310" s="20" t="s">
        <v>262</v>
      </c>
      <c r="F310" s="31"/>
      <c r="G310" s="285" t="s">
        <v>4</v>
      </c>
      <c r="H310" s="354">
        <f>65-65</f>
        <v>0</v>
      </c>
      <c r="I310" s="111"/>
    </row>
    <row r="311" spans="1:9" s="120" customFormat="1" ht="15.75">
      <c r="A311" s="119" t="s">
        <v>6</v>
      </c>
      <c r="B311" s="108" t="s">
        <v>67</v>
      </c>
      <c r="C311" s="105" t="s">
        <v>194</v>
      </c>
      <c r="D311" s="114" t="s">
        <v>126</v>
      </c>
      <c r="E311" s="105"/>
      <c r="F311" s="114"/>
      <c r="G311" s="289"/>
      <c r="H311" s="304">
        <f aca="true" t="shared" si="16" ref="H311:I313">H312</f>
        <v>26887.7</v>
      </c>
      <c r="I311" s="86">
        <f t="shared" si="16"/>
        <v>0</v>
      </c>
    </row>
    <row r="312" spans="1:9" s="120" customFormat="1" ht="15.75">
      <c r="A312" s="27" t="s">
        <v>9</v>
      </c>
      <c r="B312" s="42" t="s">
        <v>67</v>
      </c>
      <c r="C312" s="18" t="s">
        <v>194</v>
      </c>
      <c r="D312" s="29" t="s">
        <v>187</v>
      </c>
      <c r="E312" s="22"/>
      <c r="F312" s="29"/>
      <c r="G312" s="285"/>
      <c r="H312" s="301">
        <f t="shared" si="16"/>
        <v>26887.7</v>
      </c>
      <c r="I312" s="37">
        <f t="shared" si="16"/>
        <v>0</v>
      </c>
    </row>
    <row r="313" spans="1:9" s="120" customFormat="1" ht="15.75">
      <c r="A313" s="33" t="s">
        <v>31</v>
      </c>
      <c r="B313" s="15" t="s">
        <v>67</v>
      </c>
      <c r="C313" s="18" t="s">
        <v>194</v>
      </c>
      <c r="D313" s="29" t="s">
        <v>187</v>
      </c>
      <c r="E313" s="14" t="s">
        <v>32</v>
      </c>
      <c r="F313" s="9"/>
      <c r="G313" s="286"/>
      <c r="H313" s="302">
        <f t="shared" si="16"/>
        <v>26887.7</v>
      </c>
      <c r="I313" s="38">
        <f t="shared" si="16"/>
        <v>0</v>
      </c>
    </row>
    <row r="314" spans="1:9" ht="15.75">
      <c r="A314" s="26" t="s">
        <v>27</v>
      </c>
      <c r="B314" s="44" t="s">
        <v>67</v>
      </c>
      <c r="C314" s="18" t="s">
        <v>194</v>
      </c>
      <c r="D314" s="29" t="s">
        <v>187</v>
      </c>
      <c r="E314" s="20" t="s">
        <v>212</v>
      </c>
      <c r="F314" s="9"/>
      <c r="G314" s="288"/>
      <c r="H314" s="303">
        <f>H315</f>
        <v>26887.7</v>
      </c>
      <c r="I314" s="36">
        <f>I315</f>
        <v>0</v>
      </c>
    </row>
    <row r="315" spans="1:9" ht="15.75">
      <c r="A315" s="25" t="s">
        <v>172</v>
      </c>
      <c r="B315" s="44" t="s">
        <v>67</v>
      </c>
      <c r="C315" s="18" t="s">
        <v>194</v>
      </c>
      <c r="D315" s="29" t="s">
        <v>187</v>
      </c>
      <c r="E315" s="20" t="s">
        <v>212</v>
      </c>
      <c r="F315" s="9"/>
      <c r="G315" s="286" t="s">
        <v>86</v>
      </c>
      <c r="H315" s="303">
        <f>24500.5+1176.9-0.9+1211.2</f>
        <v>26887.7</v>
      </c>
      <c r="I315" s="305"/>
    </row>
    <row r="316" spans="1:9" ht="15.75">
      <c r="A316" s="119" t="s">
        <v>251</v>
      </c>
      <c r="B316" s="108" t="s">
        <v>67</v>
      </c>
      <c r="C316" s="105" t="s">
        <v>195</v>
      </c>
      <c r="D316" s="114" t="s">
        <v>126</v>
      </c>
      <c r="E316" s="105"/>
      <c r="F316" s="114"/>
      <c r="G316" s="289"/>
      <c r="H316" s="304">
        <f>H317+H333</f>
        <v>95499.59999999999</v>
      </c>
      <c r="I316" s="86">
        <f>I317+I333</f>
        <v>3200</v>
      </c>
    </row>
    <row r="317" spans="1:9" ht="15.75">
      <c r="A317" s="27" t="s">
        <v>34</v>
      </c>
      <c r="B317" s="42" t="s">
        <v>67</v>
      </c>
      <c r="C317" s="22" t="s">
        <v>195</v>
      </c>
      <c r="D317" s="29" t="s">
        <v>186</v>
      </c>
      <c r="E317" s="22"/>
      <c r="F317" s="29"/>
      <c r="G317" s="285"/>
      <c r="H317" s="301">
        <f>H318+H321+H324+H327+H330</f>
        <v>88740.2</v>
      </c>
      <c r="I317" s="37">
        <f>I318+I321+I324+I327+I330</f>
        <v>3200</v>
      </c>
    </row>
    <row r="318" spans="1:9" ht="26.25">
      <c r="A318" s="47" t="s">
        <v>119</v>
      </c>
      <c r="B318" s="43" t="s">
        <v>67</v>
      </c>
      <c r="C318" s="22" t="s">
        <v>195</v>
      </c>
      <c r="D318" s="29" t="s">
        <v>186</v>
      </c>
      <c r="E318" s="18" t="s">
        <v>35</v>
      </c>
      <c r="F318" s="30"/>
      <c r="G318" s="286"/>
      <c r="H318" s="302">
        <f>H319</f>
        <v>45627.4</v>
      </c>
      <c r="I318" s="38">
        <f>I319</f>
        <v>3200</v>
      </c>
    </row>
    <row r="319" spans="1:9" ht="15.75">
      <c r="A319" s="26" t="s">
        <v>27</v>
      </c>
      <c r="B319" s="43" t="s">
        <v>67</v>
      </c>
      <c r="C319" s="22" t="s">
        <v>195</v>
      </c>
      <c r="D319" s="29" t="s">
        <v>186</v>
      </c>
      <c r="E319" s="18" t="s">
        <v>222</v>
      </c>
      <c r="F319" s="30"/>
      <c r="G319" s="286"/>
      <c r="H319" s="302">
        <f>H320</f>
        <v>45627.4</v>
      </c>
      <c r="I319" s="38">
        <f>I320</f>
        <v>3200</v>
      </c>
    </row>
    <row r="320" spans="1:9" ht="15.75">
      <c r="A320" s="25" t="s">
        <v>172</v>
      </c>
      <c r="B320" s="43" t="s">
        <v>67</v>
      </c>
      <c r="C320" s="22" t="s">
        <v>195</v>
      </c>
      <c r="D320" s="29" t="s">
        <v>186</v>
      </c>
      <c r="E320" s="18" t="s">
        <v>222</v>
      </c>
      <c r="F320" s="30"/>
      <c r="G320" s="286" t="s">
        <v>86</v>
      </c>
      <c r="H320" s="302">
        <f>36718.3+3200+2400+299.9+5183.1-2173.9</f>
        <v>45627.4</v>
      </c>
      <c r="I320" s="38">
        <v>3200</v>
      </c>
    </row>
    <row r="321" spans="1:9" ht="15.75">
      <c r="A321" s="25" t="s">
        <v>13</v>
      </c>
      <c r="B321" s="43" t="s">
        <v>67</v>
      </c>
      <c r="C321" s="22" t="s">
        <v>195</v>
      </c>
      <c r="D321" s="29" t="s">
        <v>186</v>
      </c>
      <c r="E321" s="18" t="s">
        <v>36</v>
      </c>
      <c r="F321" s="30"/>
      <c r="G321" s="286"/>
      <c r="H321" s="302">
        <f>H322</f>
        <v>3785.5000000000005</v>
      </c>
      <c r="I321" s="38">
        <f>I322</f>
        <v>0</v>
      </c>
    </row>
    <row r="322" spans="1:9" ht="15.75">
      <c r="A322" s="26" t="s">
        <v>27</v>
      </c>
      <c r="B322" s="43" t="s">
        <v>67</v>
      </c>
      <c r="C322" s="22" t="s">
        <v>195</v>
      </c>
      <c r="D322" s="29" t="s">
        <v>186</v>
      </c>
      <c r="E322" s="18" t="s">
        <v>223</v>
      </c>
      <c r="F322" s="30"/>
      <c r="G322" s="286"/>
      <c r="H322" s="302">
        <f>H323</f>
        <v>3785.5000000000005</v>
      </c>
      <c r="I322" s="38">
        <f>I323</f>
        <v>0</v>
      </c>
    </row>
    <row r="323" spans="1:9" ht="15.75">
      <c r="A323" s="25" t="s">
        <v>172</v>
      </c>
      <c r="B323" s="43" t="s">
        <v>67</v>
      </c>
      <c r="C323" s="22" t="s">
        <v>195</v>
      </c>
      <c r="D323" s="29" t="s">
        <v>186</v>
      </c>
      <c r="E323" s="18" t="s">
        <v>223</v>
      </c>
      <c r="F323" s="30"/>
      <c r="G323" s="286" t="s">
        <v>86</v>
      </c>
      <c r="H323" s="302">
        <f>3780.8+13.4-8.7</f>
        <v>3785.5000000000005</v>
      </c>
      <c r="I323" s="306"/>
    </row>
    <row r="324" spans="1:9" ht="15.75">
      <c r="A324" s="25" t="s">
        <v>14</v>
      </c>
      <c r="B324" s="43" t="s">
        <v>67</v>
      </c>
      <c r="C324" s="22" t="s">
        <v>195</v>
      </c>
      <c r="D324" s="29" t="s">
        <v>186</v>
      </c>
      <c r="E324" s="18" t="s">
        <v>37</v>
      </c>
      <c r="F324" s="30"/>
      <c r="G324" s="290"/>
      <c r="H324" s="302">
        <f>H325</f>
        <v>14201.2</v>
      </c>
      <c r="I324" s="38">
        <f>I325</f>
        <v>0</v>
      </c>
    </row>
    <row r="325" spans="1:9" ht="15.75">
      <c r="A325" s="26" t="s">
        <v>27</v>
      </c>
      <c r="B325" s="43" t="s">
        <v>67</v>
      </c>
      <c r="C325" s="22" t="s">
        <v>195</v>
      </c>
      <c r="D325" s="29" t="s">
        <v>186</v>
      </c>
      <c r="E325" s="18" t="s">
        <v>224</v>
      </c>
      <c r="F325" s="30"/>
      <c r="G325" s="290"/>
      <c r="H325" s="302">
        <f>H326</f>
        <v>14201.2</v>
      </c>
      <c r="I325" s="38">
        <f>I326</f>
        <v>0</v>
      </c>
    </row>
    <row r="326" spans="1:9" ht="15.75">
      <c r="A326" s="25" t="s">
        <v>172</v>
      </c>
      <c r="B326" s="43" t="s">
        <v>67</v>
      </c>
      <c r="C326" s="22" t="s">
        <v>195</v>
      </c>
      <c r="D326" s="29" t="s">
        <v>186</v>
      </c>
      <c r="E326" s="18" t="s">
        <v>224</v>
      </c>
      <c r="F326" s="30"/>
      <c r="G326" s="286" t="s">
        <v>86</v>
      </c>
      <c r="H326" s="302">
        <f>13177+1982+362+30.1+200-1549.9</f>
        <v>14201.2</v>
      </c>
      <c r="I326" s="38"/>
    </row>
    <row r="327" spans="1:9" ht="26.25">
      <c r="A327" s="47" t="s">
        <v>112</v>
      </c>
      <c r="B327" s="43" t="s">
        <v>67</v>
      </c>
      <c r="C327" s="22" t="s">
        <v>195</v>
      </c>
      <c r="D327" s="29" t="s">
        <v>186</v>
      </c>
      <c r="E327" s="18" t="s">
        <v>38</v>
      </c>
      <c r="F327" s="30"/>
      <c r="G327" s="286"/>
      <c r="H327" s="302">
        <f>H328</f>
        <v>24054.7</v>
      </c>
      <c r="I327" s="38">
        <f>I328</f>
        <v>0</v>
      </c>
    </row>
    <row r="328" spans="1:9" ht="15.75">
      <c r="A328" s="26" t="s">
        <v>27</v>
      </c>
      <c r="B328" s="43" t="s">
        <v>67</v>
      </c>
      <c r="C328" s="22" t="s">
        <v>195</v>
      </c>
      <c r="D328" s="29" t="s">
        <v>186</v>
      </c>
      <c r="E328" s="18" t="s">
        <v>225</v>
      </c>
      <c r="F328" s="30"/>
      <c r="G328" s="286"/>
      <c r="H328" s="302">
        <f>H329</f>
        <v>24054.7</v>
      </c>
      <c r="I328" s="38">
        <f>I329</f>
        <v>0</v>
      </c>
    </row>
    <row r="329" spans="1:9" ht="15.75">
      <c r="A329" s="25" t="s">
        <v>172</v>
      </c>
      <c r="B329" s="43" t="s">
        <v>67</v>
      </c>
      <c r="C329" s="22" t="s">
        <v>195</v>
      </c>
      <c r="D329" s="29" t="s">
        <v>186</v>
      </c>
      <c r="E329" s="18" t="s">
        <v>225</v>
      </c>
      <c r="F329" s="30"/>
      <c r="G329" s="286" t="s">
        <v>86</v>
      </c>
      <c r="H329" s="302">
        <f>24941.2+171.9-1451.9+393.5</f>
        <v>24054.7</v>
      </c>
      <c r="I329" s="306"/>
    </row>
    <row r="330" spans="1:9" ht="15.75">
      <c r="A330" s="25" t="s">
        <v>131</v>
      </c>
      <c r="B330" s="43" t="s">
        <v>67</v>
      </c>
      <c r="C330" s="22" t="s">
        <v>195</v>
      </c>
      <c r="D330" s="29" t="s">
        <v>186</v>
      </c>
      <c r="E330" s="18" t="s">
        <v>132</v>
      </c>
      <c r="F330" s="30"/>
      <c r="G330" s="286"/>
      <c r="H330" s="302">
        <f>H331</f>
        <v>1071.3999999999996</v>
      </c>
      <c r="I330" s="38">
        <f>I331</f>
        <v>0</v>
      </c>
    </row>
    <row r="331" spans="1:9" ht="26.25">
      <c r="A331" s="47" t="s">
        <v>253</v>
      </c>
      <c r="B331" s="43" t="s">
        <v>67</v>
      </c>
      <c r="C331" s="22" t="s">
        <v>195</v>
      </c>
      <c r="D331" s="29" t="s">
        <v>186</v>
      </c>
      <c r="E331" s="18" t="s">
        <v>252</v>
      </c>
      <c r="F331" s="30"/>
      <c r="G331" s="286"/>
      <c r="H331" s="302">
        <f>H332</f>
        <v>1071.3999999999996</v>
      </c>
      <c r="I331" s="38">
        <f>I332</f>
        <v>0</v>
      </c>
    </row>
    <row r="332" spans="1:9" ht="26.25">
      <c r="A332" s="47" t="s">
        <v>352</v>
      </c>
      <c r="B332" s="43" t="s">
        <v>67</v>
      </c>
      <c r="C332" s="22" t="s">
        <v>195</v>
      </c>
      <c r="D332" s="29" t="s">
        <v>186</v>
      </c>
      <c r="E332" s="18" t="s">
        <v>252</v>
      </c>
      <c r="F332" s="30"/>
      <c r="G332" s="286" t="s">
        <v>353</v>
      </c>
      <c r="H332" s="302">
        <f>4671.4+1800-5400</f>
        <v>1071.3999999999996</v>
      </c>
      <c r="I332" s="306"/>
    </row>
    <row r="333" spans="1:9" ht="26.25">
      <c r="A333" s="129" t="s">
        <v>113</v>
      </c>
      <c r="B333" s="108" t="s">
        <v>67</v>
      </c>
      <c r="C333" s="17" t="s">
        <v>195</v>
      </c>
      <c r="D333" s="114" t="s">
        <v>205</v>
      </c>
      <c r="E333" s="105"/>
      <c r="F333" s="114"/>
      <c r="G333" s="289"/>
      <c r="H333" s="304">
        <f>H337+H334</f>
        <v>6759.4</v>
      </c>
      <c r="I333" s="86">
        <f>I337+I334</f>
        <v>0</v>
      </c>
    </row>
    <row r="334" spans="1:9" ht="15.75">
      <c r="A334" s="47" t="s">
        <v>147</v>
      </c>
      <c r="B334" s="43" t="s">
        <v>67</v>
      </c>
      <c r="C334" s="22" t="s">
        <v>195</v>
      </c>
      <c r="D334" s="30" t="s">
        <v>205</v>
      </c>
      <c r="E334" s="18" t="s">
        <v>277</v>
      </c>
      <c r="F334" s="30"/>
      <c r="G334" s="286"/>
      <c r="H334" s="302">
        <f>H335</f>
        <v>4107</v>
      </c>
      <c r="I334" s="38">
        <f>I335</f>
        <v>0</v>
      </c>
    </row>
    <row r="335" spans="1:9" ht="15.75">
      <c r="A335" s="27" t="s">
        <v>50</v>
      </c>
      <c r="B335" s="43" t="s">
        <v>67</v>
      </c>
      <c r="C335" s="22" t="s">
        <v>195</v>
      </c>
      <c r="D335" s="30" t="s">
        <v>205</v>
      </c>
      <c r="E335" s="18" t="s">
        <v>279</v>
      </c>
      <c r="F335" s="30"/>
      <c r="G335" s="286"/>
      <c r="H335" s="302">
        <f>H336</f>
        <v>4107</v>
      </c>
      <c r="I335" s="38">
        <f>I336</f>
        <v>0</v>
      </c>
    </row>
    <row r="336" spans="1:9" ht="15.75">
      <c r="A336" s="27" t="s">
        <v>146</v>
      </c>
      <c r="B336" s="43" t="s">
        <v>67</v>
      </c>
      <c r="C336" s="22" t="s">
        <v>195</v>
      </c>
      <c r="D336" s="30" t="s">
        <v>205</v>
      </c>
      <c r="E336" s="18" t="s">
        <v>279</v>
      </c>
      <c r="F336" s="30"/>
      <c r="G336" s="286" t="s">
        <v>278</v>
      </c>
      <c r="H336" s="302">
        <f>5141.7-399.4-276.5-358.8</f>
        <v>4107</v>
      </c>
      <c r="I336" s="306"/>
    </row>
    <row r="337" spans="1:9" ht="51.75">
      <c r="A337" s="46" t="s">
        <v>111</v>
      </c>
      <c r="B337" s="43" t="s">
        <v>67</v>
      </c>
      <c r="C337" s="22" t="s">
        <v>195</v>
      </c>
      <c r="D337" s="30" t="s">
        <v>205</v>
      </c>
      <c r="E337" s="18" t="s">
        <v>40</v>
      </c>
      <c r="F337" s="30"/>
      <c r="G337" s="286"/>
      <c r="H337" s="302">
        <f>H338</f>
        <v>2652.4</v>
      </c>
      <c r="I337" s="38">
        <f>I338</f>
        <v>0</v>
      </c>
    </row>
    <row r="338" spans="1:9" s="23" customFormat="1" ht="15.75">
      <c r="A338" s="25" t="s">
        <v>27</v>
      </c>
      <c r="B338" s="44"/>
      <c r="C338" s="22" t="s">
        <v>195</v>
      </c>
      <c r="D338" s="31" t="s">
        <v>205</v>
      </c>
      <c r="E338" s="20" t="s">
        <v>218</v>
      </c>
      <c r="F338" s="31"/>
      <c r="G338" s="299"/>
      <c r="H338" s="303">
        <f>H339</f>
        <v>2652.4</v>
      </c>
      <c r="I338" s="36">
        <f>I339</f>
        <v>0</v>
      </c>
    </row>
    <row r="339" spans="1:9" ht="16.5" thickBot="1">
      <c r="A339" s="26" t="s">
        <v>172</v>
      </c>
      <c r="B339" s="44" t="s">
        <v>67</v>
      </c>
      <c r="C339" s="22" t="s">
        <v>195</v>
      </c>
      <c r="D339" s="31" t="s">
        <v>205</v>
      </c>
      <c r="E339" s="20" t="s">
        <v>218</v>
      </c>
      <c r="F339" s="31"/>
      <c r="G339" s="291" t="s">
        <v>86</v>
      </c>
      <c r="H339" s="303">
        <f>2867.3+91-305.9</f>
        <v>2652.4</v>
      </c>
      <c r="I339" s="356"/>
    </row>
    <row r="340" spans="1:9" ht="36" customHeight="1" thickBot="1">
      <c r="A340" s="80" t="s">
        <v>117</v>
      </c>
      <c r="B340" s="28" t="s">
        <v>69</v>
      </c>
      <c r="C340" s="21"/>
      <c r="D340" s="12"/>
      <c r="E340" s="21"/>
      <c r="F340" s="12"/>
      <c r="G340" s="55"/>
      <c r="H340" s="39">
        <f>H341+H374</f>
        <v>579342.5</v>
      </c>
      <c r="I340" s="39">
        <f>I341+I374</f>
        <v>15956</v>
      </c>
    </row>
    <row r="341" spans="1:9" ht="15.75">
      <c r="A341" s="113" t="s">
        <v>250</v>
      </c>
      <c r="B341" s="107" t="s">
        <v>69</v>
      </c>
      <c r="C341" s="17" t="s">
        <v>192</v>
      </c>
      <c r="D341" s="32" t="s">
        <v>126</v>
      </c>
      <c r="E341" s="17"/>
      <c r="F341" s="101"/>
      <c r="G341" s="92"/>
      <c r="H341" s="90">
        <f>H342+H350+H355+H359+H366</f>
        <v>577842.5</v>
      </c>
      <c r="I341" s="90">
        <f>I342+I350+I355+I359+I366</f>
        <v>15956</v>
      </c>
    </row>
    <row r="342" spans="1:9" ht="18" customHeight="1">
      <c r="A342" s="113" t="s">
        <v>228</v>
      </c>
      <c r="B342" s="42" t="s">
        <v>69</v>
      </c>
      <c r="C342" s="22" t="s">
        <v>192</v>
      </c>
      <c r="D342" s="29" t="s">
        <v>186</v>
      </c>
      <c r="E342" s="17"/>
      <c r="F342" s="32"/>
      <c r="G342" s="121"/>
      <c r="H342" s="90">
        <f>H343+H347</f>
        <v>264360</v>
      </c>
      <c r="I342" s="90">
        <f>I343+I347</f>
        <v>2621</v>
      </c>
    </row>
    <row r="343" spans="1:9" ht="18" customHeight="1">
      <c r="A343" s="25" t="s">
        <v>41</v>
      </c>
      <c r="B343" s="42" t="s">
        <v>69</v>
      </c>
      <c r="C343" s="22" t="s">
        <v>192</v>
      </c>
      <c r="D343" s="30" t="s">
        <v>186</v>
      </c>
      <c r="E343" s="18" t="s">
        <v>42</v>
      </c>
      <c r="F343" s="30"/>
      <c r="G343" s="87"/>
      <c r="H343" s="38">
        <f>H344</f>
        <v>243407</v>
      </c>
      <c r="I343" s="49">
        <f>I344</f>
        <v>2021</v>
      </c>
    </row>
    <row r="344" spans="1:9" ht="15.75">
      <c r="A344" s="26" t="s">
        <v>27</v>
      </c>
      <c r="B344" s="42" t="s">
        <v>69</v>
      </c>
      <c r="C344" s="22" t="s">
        <v>192</v>
      </c>
      <c r="D344" s="30" t="s">
        <v>186</v>
      </c>
      <c r="E344" s="18" t="s">
        <v>229</v>
      </c>
      <c r="F344" s="30"/>
      <c r="G344" s="95"/>
      <c r="H344" s="38">
        <f>H345+H346</f>
        <v>243407</v>
      </c>
      <c r="I344" s="38">
        <f>I345+I346</f>
        <v>2021</v>
      </c>
    </row>
    <row r="345" spans="1:9" ht="15.75">
      <c r="A345" s="26" t="s">
        <v>172</v>
      </c>
      <c r="B345" s="42" t="s">
        <v>69</v>
      </c>
      <c r="C345" s="22" t="s">
        <v>192</v>
      </c>
      <c r="D345" s="30" t="s">
        <v>186</v>
      </c>
      <c r="E345" s="18" t="s">
        <v>229</v>
      </c>
      <c r="F345" s="30"/>
      <c r="G345" s="95" t="s">
        <v>86</v>
      </c>
      <c r="H345" s="38">
        <f>70304.8+13540.1+141598.8+1135+1000+10928.7-114+4606.3-1021+160.9+858.4-612</f>
        <v>242386</v>
      </c>
      <c r="I345" s="49">
        <f>1135+1000-114-1021</f>
        <v>1000</v>
      </c>
    </row>
    <row r="346" spans="1:9" ht="15.75">
      <c r="A346" s="26" t="s">
        <v>172</v>
      </c>
      <c r="B346" s="42" t="s">
        <v>69</v>
      </c>
      <c r="C346" s="22" t="s">
        <v>192</v>
      </c>
      <c r="D346" s="30" t="s">
        <v>186</v>
      </c>
      <c r="E346" s="18" t="s">
        <v>437</v>
      </c>
      <c r="F346" s="30"/>
      <c r="G346" s="95" t="s">
        <v>86</v>
      </c>
      <c r="H346" s="38">
        <v>1021</v>
      </c>
      <c r="I346" s="49">
        <v>1021</v>
      </c>
    </row>
    <row r="347" spans="1:9" ht="15.75">
      <c r="A347" s="26" t="s">
        <v>332</v>
      </c>
      <c r="B347" s="42" t="s">
        <v>69</v>
      </c>
      <c r="C347" s="22" t="s">
        <v>192</v>
      </c>
      <c r="D347" s="30" t="s">
        <v>186</v>
      </c>
      <c r="E347" s="18" t="s">
        <v>333</v>
      </c>
      <c r="F347" s="30"/>
      <c r="G347" s="95"/>
      <c r="H347" s="38">
        <f>H348</f>
        <v>20953</v>
      </c>
      <c r="I347" s="38">
        <f>I348</f>
        <v>600</v>
      </c>
    </row>
    <row r="348" spans="1:9" ht="15.75">
      <c r="A348" s="26" t="s">
        <v>27</v>
      </c>
      <c r="B348" s="42" t="s">
        <v>69</v>
      </c>
      <c r="C348" s="22" t="s">
        <v>192</v>
      </c>
      <c r="D348" s="30" t="s">
        <v>186</v>
      </c>
      <c r="E348" s="18" t="s">
        <v>334</v>
      </c>
      <c r="F348" s="30"/>
      <c r="G348" s="95"/>
      <c r="H348" s="38">
        <f>H349</f>
        <v>20953</v>
      </c>
      <c r="I348" s="38">
        <f>I349</f>
        <v>600</v>
      </c>
    </row>
    <row r="349" spans="1:9" ht="15.75">
      <c r="A349" s="26" t="s">
        <v>172</v>
      </c>
      <c r="B349" s="42" t="s">
        <v>69</v>
      </c>
      <c r="C349" s="22" t="s">
        <v>192</v>
      </c>
      <c r="D349" s="30" t="s">
        <v>186</v>
      </c>
      <c r="E349" s="18" t="s">
        <v>334</v>
      </c>
      <c r="F349" s="30"/>
      <c r="G349" s="95" t="s">
        <v>86</v>
      </c>
      <c r="H349" s="38">
        <f>785+5885.2+11825.8+600+1857</f>
        <v>20953</v>
      </c>
      <c r="I349" s="49">
        <v>600</v>
      </c>
    </row>
    <row r="350" spans="1:9" ht="15.75">
      <c r="A350" s="26" t="s">
        <v>335</v>
      </c>
      <c r="B350" s="42" t="s">
        <v>69</v>
      </c>
      <c r="C350" s="22" t="s">
        <v>192</v>
      </c>
      <c r="D350" s="30" t="s">
        <v>187</v>
      </c>
      <c r="E350" s="18"/>
      <c r="F350" s="30"/>
      <c r="G350" s="95"/>
      <c r="H350" s="38">
        <f>H351</f>
        <v>274506.7</v>
      </c>
      <c r="I350" s="38">
        <f>I351</f>
        <v>10932</v>
      </c>
    </row>
    <row r="351" spans="1:9" ht="15.75">
      <c r="A351" s="26" t="s">
        <v>336</v>
      </c>
      <c r="B351" s="42" t="s">
        <v>69</v>
      </c>
      <c r="C351" s="22" t="s">
        <v>192</v>
      </c>
      <c r="D351" s="30" t="s">
        <v>187</v>
      </c>
      <c r="E351" s="18" t="s">
        <v>337</v>
      </c>
      <c r="F351" s="30"/>
      <c r="G351" s="95"/>
      <c r="H351" s="38">
        <f>H352</f>
        <v>274506.7</v>
      </c>
      <c r="I351" s="38">
        <f>I352</f>
        <v>10932</v>
      </c>
    </row>
    <row r="352" spans="1:9" ht="15.75">
      <c r="A352" s="26" t="s">
        <v>27</v>
      </c>
      <c r="B352" s="42" t="s">
        <v>69</v>
      </c>
      <c r="C352" s="22" t="s">
        <v>192</v>
      </c>
      <c r="D352" s="30" t="s">
        <v>187</v>
      </c>
      <c r="E352" s="18" t="s">
        <v>338</v>
      </c>
      <c r="F352" s="30"/>
      <c r="G352" s="95"/>
      <c r="H352" s="38">
        <f>H353+H354</f>
        <v>274506.7</v>
      </c>
      <c r="I352" s="38">
        <f>I353+I354</f>
        <v>10932</v>
      </c>
    </row>
    <row r="353" spans="1:9" ht="15.75">
      <c r="A353" s="26" t="s">
        <v>172</v>
      </c>
      <c r="B353" s="42" t="s">
        <v>69</v>
      </c>
      <c r="C353" s="22" t="s">
        <v>192</v>
      </c>
      <c r="D353" s="30" t="s">
        <v>187</v>
      </c>
      <c r="E353" s="18" t="s">
        <v>338</v>
      </c>
      <c r="F353" s="30"/>
      <c r="G353" s="95" t="s">
        <v>86</v>
      </c>
      <c r="H353" s="38">
        <f>85782.6+34858+122959.1+9702+1800+400+80+10627.9-970+10920-8732+136.6-1789.5</f>
        <v>265774.7</v>
      </c>
      <c r="I353" s="49">
        <f>9702+1800+400-970+10920-10920-8732</f>
        <v>2200</v>
      </c>
    </row>
    <row r="354" spans="1:9" ht="15.75">
      <c r="A354" s="26" t="s">
        <v>172</v>
      </c>
      <c r="B354" s="42" t="s">
        <v>69</v>
      </c>
      <c r="C354" s="22" t="s">
        <v>192</v>
      </c>
      <c r="D354" s="30" t="s">
        <v>187</v>
      </c>
      <c r="E354" s="18" t="s">
        <v>436</v>
      </c>
      <c r="F354" s="30"/>
      <c r="G354" s="95" t="s">
        <v>86</v>
      </c>
      <c r="H354" s="38">
        <v>8732</v>
      </c>
      <c r="I354" s="49">
        <v>8732</v>
      </c>
    </row>
    <row r="355" spans="1:9" ht="15.75">
      <c r="A355" s="26" t="s">
        <v>339</v>
      </c>
      <c r="B355" s="42" t="s">
        <v>69</v>
      </c>
      <c r="C355" s="22" t="s">
        <v>192</v>
      </c>
      <c r="D355" s="30" t="s">
        <v>191</v>
      </c>
      <c r="E355" s="18"/>
      <c r="F355" s="30"/>
      <c r="G355" s="95"/>
      <c r="H355" s="38">
        <f aca="true" t="shared" si="17" ref="H355:I357">H356</f>
        <v>3895.8</v>
      </c>
      <c r="I355" s="38">
        <f t="shared" si="17"/>
        <v>0</v>
      </c>
    </row>
    <row r="356" spans="1:9" ht="15.75">
      <c r="A356" s="25" t="s">
        <v>41</v>
      </c>
      <c r="B356" s="42" t="s">
        <v>69</v>
      </c>
      <c r="C356" s="22" t="s">
        <v>192</v>
      </c>
      <c r="D356" s="30" t="s">
        <v>191</v>
      </c>
      <c r="E356" s="18" t="s">
        <v>42</v>
      </c>
      <c r="F356" s="30"/>
      <c r="G356" s="87"/>
      <c r="H356" s="38">
        <f t="shared" si="17"/>
        <v>3895.8</v>
      </c>
      <c r="I356" s="38">
        <f t="shared" si="17"/>
        <v>0</v>
      </c>
    </row>
    <row r="357" spans="1:9" ht="15.75">
      <c r="A357" s="26" t="s">
        <v>27</v>
      </c>
      <c r="B357" s="42" t="s">
        <v>69</v>
      </c>
      <c r="C357" s="22" t="s">
        <v>192</v>
      </c>
      <c r="D357" s="30" t="s">
        <v>191</v>
      </c>
      <c r="E357" s="18" t="s">
        <v>229</v>
      </c>
      <c r="F357" s="30"/>
      <c r="G357" s="95"/>
      <c r="H357" s="38">
        <f t="shared" si="17"/>
        <v>3895.8</v>
      </c>
      <c r="I357" s="38">
        <f t="shared" si="17"/>
        <v>0</v>
      </c>
    </row>
    <row r="358" spans="1:9" ht="15.75">
      <c r="A358" s="26" t="s">
        <v>172</v>
      </c>
      <c r="B358" s="42" t="s">
        <v>69</v>
      </c>
      <c r="C358" s="22" t="s">
        <v>192</v>
      </c>
      <c r="D358" s="30" t="s">
        <v>191</v>
      </c>
      <c r="E358" s="18" t="s">
        <v>229</v>
      </c>
      <c r="F358" s="30"/>
      <c r="G358" s="95" t="s">
        <v>86</v>
      </c>
      <c r="H358" s="38">
        <f>692.4+8.1+3195.3</f>
        <v>3895.8</v>
      </c>
      <c r="I358" s="49"/>
    </row>
    <row r="359" spans="1:9" ht="15.75">
      <c r="A359" s="26" t="s">
        <v>340</v>
      </c>
      <c r="B359" s="42" t="s">
        <v>69</v>
      </c>
      <c r="C359" s="22" t="s">
        <v>192</v>
      </c>
      <c r="D359" s="30" t="s">
        <v>188</v>
      </c>
      <c r="E359" s="18"/>
      <c r="F359" s="30"/>
      <c r="G359" s="95"/>
      <c r="H359" s="38">
        <f>H360+H363</f>
        <v>31392.6</v>
      </c>
      <c r="I359" s="38">
        <f>I360+I363</f>
        <v>2403</v>
      </c>
    </row>
    <row r="360" spans="1:9" ht="15.75">
      <c r="A360" s="26" t="s">
        <v>341</v>
      </c>
      <c r="B360" s="42" t="s">
        <v>69</v>
      </c>
      <c r="C360" s="22" t="s">
        <v>192</v>
      </c>
      <c r="D360" s="30" t="s">
        <v>188</v>
      </c>
      <c r="E360" s="18" t="s">
        <v>342</v>
      </c>
      <c r="F360" s="30"/>
      <c r="G360" s="95"/>
      <c r="H360" s="38">
        <f>H361</f>
        <v>28420.399999999998</v>
      </c>
      <c r="I360" s="38">
        <f>I361</f>
        <v>0</v>
      </c>
    </row>
    <row r="361" spans="1:9" ht="15.75">
      <c r="A361" s="26" t="s">
        <v>27</v>
      </c>
      <c r="B361" s="42" t="s">
        <v>69</v>
      </c>
      <c r="C361" s="22" t="s">
        <v>192</v>
      </c>
      <c r="D361" s="30" t="s">
        <v>188</v>
      </c>
      <c r="E361" s="18" t="s">
        <v>343</v>
      </c>
      <c r="F361" s="30"/>
      <c r="G361" s="95"/>
      <c r="H361" s="38">
        <f>H362</f>
        <v>28420.399999999998</v>
      </c>
      <c r="I361" s="38">
        <f>I362</f>
        <v>0</v>
      </c>
    </row>
    <row r="362" spans="1:9" ht="15.75">
      <c r="A362" s="26" t="s">
        <v>172</v>
      </c>
      <c r="B362" s="42" t="s">
        <v>69</v>
      </c>
      <c r="C362" s="22" t="s">
        <v>192</v>
      </c>
      <c r="D362" s="30" t="s">
        <v>188</v>
      </c>
      <c r="E362" s="18" t="s">
        <v>343</v>
      </c>
      <c r="F362" s="30"/>
      <c r="G362" s="95" t="s">
        <v>86</v>
      </c>
      <c r="H362" s="38">
        <f>28136.2+538.6+657+6.1-917.5</f>
        <v>28420.399999999998</v>
      </c>
      <c r="I362" s="49"/>
    </row>
    <row r="363" spans="1:9" ht="15.75">
      <c r="A363" s="26" t="s">
        <v>125</v>
      </c>
      <c r="B363" s="42" t="s">
        <v>69</v>
      </c>
      <c r="C363" s="22" t="s">
        <v>192</v>
      </c>
      <c r="D363" s="30" t="s">
        <v>188</v>
      </c>
      <c r="E363" s="18" t="s">
        <v>95</v>
      </c>
      <c r="F363" s="30"/>
      <c r="G363" s="95"/>
      <c r="H363" s="38">
        <f>H364</f>
        <v>2972.2</v>
      </c>
      <c r="I363" s="38">
        <f>I364</f>
        <v>2403</v>
      </c>
    </row>
    <row r="364" spans="1:9" ht="45" customHeight="1">
      <c r="A364" s="46" t="s">
        <v>344</v>
      </c>
      <c r="B364" s="42" t="s">
        <v>69</v>
      </c>
      <c r="C364" s="22" t="s">
        <v>192</v>
      </c>
      <c r="D364" s="30" t="s">
        <v>188</v>
      </c>
      <c r="E364" s="18" t="s">
        <v>280</v>
      </c>
      <c r="F364" s="30"/>
      <c r="G364" s="95"/>
      <c r="H364" s="38">
        <f>H365</f>
        <v>2972.2</v>
      </c>
      <c r="I364" s="38">
        <f>I365</f>
        <v>2403</v>
      </c>
    </row>
    <row r="365" spans="1:9" ht="15.75">
      <c r="A365" s="26" t="s">
        <v>172</v>
      </c>
      <c r="B365" s="42" t="s">
        <v>69</v>
      </c>
      <c r="C365" s="22" t="s">
        <v>192</v>
      </c>
      <c r="D365" s="30" t="s">
        <v>188</v>
      </c>
      <c r="E365" s="18" t="s">
        <v>280</v>
      </c>
      <c r="F365" s="30"/>
      <c r="G365" s="95" t="s">
        <v>86</v>
      </c>
      <c r="H365" s="38">
        <f>2403+569.2</f>
        <v>2972.2</v>
      </c>
      <c r="I365" s="49">
        <v>2403</v>
      </c>
    </row>
    <row r="366" spans="1:9" ht="15.75">
      <c r="A366" s="119" t="s">
        <v>45</v>
      </c>
      <c r="B366" s="43" t="s">
        <v>69</v>
      </c>
      <c r="C366" s="18" t="s">
        <v>192</v>
      </c>
      <c r="D366" s="30" t="s">
        <v>193</v>
      </c>
      <c r="E366" s="18"/>
      <c r="F366" s="7"/>
      <c r="G366" s="51"/>
      <c r="H366" s="38">
        <f>H367</f>
        <v>3687.3999999999996</v>
      </c>
      <c r="I366" s="49"/>
    </row>
    <row r="367" spans="1:9" ht="15.75">
      <c r="A367" s="25" t="s">
        <v>131</v>
      </c>
      <c r="B367" s="43" t="s">
        <v>69</v>
      </c>
      <c r="C367" s="18" t="s">
        <v>192</v>
      </c>
      <c r="D367" s="30" t="s">
        <v>193</v>
      </c>
      <c r="E367" s="18" t="s">
        <v>132</v>
      </c>
      <c r="F367" s="7"/>
      <c r="G367" s="51"/>
      <c r="H367" s="38">
        <f>H370+H368+H372</f>
        <v>3687.3999999999996</v>
      </c>
      <c r="I367" s="49"/>
    </row>
    <row r="368" spans="1:9" ht="60" customHeight="1">
      <c r="A368" s="47" t="s">
        <v>365</v>
      </c>
      <c r="B368" s="43" t="s">
        <v>69</v>
      </c>
      <c r="C368" s="18" t="s">
        <v>192</v>
      </c>
      <c r="D368" s="30" t="s">
        <v>193</v>
      </c>
      <c r="E368" s="18" t="s">
        <v>366</v>
      </c>
      <c r="F368" s="7"/>
      <c r="G368" s="51"/>
      <c r="H368" s="38">
        <f>H369</f>
        <v>1544.5</v>
      </c>
      <c r="I368" s="49"/>
    </row>
    <row r="369" spans="1:9" ht="15.75">
      <c r="A369" s="33" t="s">
        <v>146</v>
      </c>
      <c r="B369" s="43" t="s">
        <v>69</v>
      </c>
      <c r="C369" s="18" t="s">
        <v>192</v>
      </c>
      <c r="D369" s="30" t="s">
        <v>193</v>
      </c>
      <c r="E369" s="18" t="s">
        <v>366</v>
      </c>
      <c r="F369" s="7"/>
      <c r="G369" s="51" t="s">
        <v>278</v>
      </c>
      <c r="H369" s="38">
        <f>2544.5-1500+500</f>
        <v>1544.5</v>
      </c>
      <c r="I369" s="49"/>
    </row>
    <row r="370" spans="1:9" ht="44.25" customHeight="1">
      <c r="A370" s="47" t="s">
        <v>359</v>
      </c>
      <c r="B370" s="43" t="s">
        <v>69</v>
      </c>
      <c r="C370" s="18" t="s">
        <v>192</v>
      </c>
      <c r="D370" s="30" t="s">
        <v>193</v>
      </c>
      <c r="E370" s="18" t="s">
        <v>360</v>
      </c>
      <c r="F370" s="7"/>
      <c r="G370" s="51"/>
      <c r="H370" s="38">
        <f>H371</f>
        <v>2142.8999999999996</v>
      </c>
      <c r="I370" s="49"/>
    </row>
    <row r="371" spans="1:9" ht="15" customHeight="1">
      <c r="A371" s="33" t="s">
        <v>146</v>
      </c>
      <c r="B371" s="43" t="s">
        <v>69</v>
      </c>
      <c r="C371" s="18" t="s">
        <v>192</v>
      </c>
      <c r="D371" s="30" t="s">
        <v>193</v>
      </c>
      <c r="E371" s="18" t="s">
        <v>360</v>
      </c>
      <c r="F371" s="7"/>
      <c r="G371" s="51" t="s">
        <v>278</v>
      </c>
      <c r="H371" s="38">
        <f>8187.4-3544.5-2500</f>
        <v>2142.8999999999996</v>
      </c>
      <c r="I371" s="49"/>
    </row>
    <row r="372" spans="1:9" ht="30.75" customHeight="1" hidden="1">
      <c r="A372" s="369" t="s">
        <v>367</v>
      </c>
      <c r="B372" s="43" t="s">
        <v>69</v>
      </c>
      <c r="C372" s="18" t="s">
        <v>192</v>
      </c>
      <c r="D372" s="30" t="s">
        <v>193</v>
      </c>
      <c r="E372" s="18" t="s">
        <v>368</v>
      </c>
      <c r="F372" s="7"/>
      <c r="G372" s="51"/>
      <c r="H372" s="38">
        <f>H373</f>
        <v>0</v>
      </c>
      <c r="I372" s="49"/>
    </row>
    <row r="373" spans="1:9" ht="0" customHeight="1" hidden="1">
      <c r="A373" s="33" t="s">
        <v>146</v>
      </c>
      <c r="B373" s="43" t="s">
        <v>69</v>
      </c>
      <c r="C373" s="18" t="s">
        <v>192</v>
      </c>
      <c r="D373" s="30" t="s">
        <v>193</v>
      </c>
      <c r="E373" s="18" t="s">
        <v>368</v>
      </c>
      <c r="F373" s="7"/>
      <c r="G373" s="51" t="s">
        <v>278</v>
      </c>
      <c r="H373" s="38">
        <f>1000-500-500</f>
        <v>0</v>
      </c>
      <c r="I373" s="49"/>
    </row>
    <row r="374" spans="1:9" ht="15.75">
      <c r="A374" s="119" t="s">
        <v>5</v>
      </c>
      <c r="B374" s="108" t="s">
        <v>69</v>
      </c>
      <c r="C374" s="105" t="s">
        <v>193</v>
      </c>
      <c r="D374" s="114" t="s">
        <v>126</v>
      </c>
      <c r="E374" s="105"/>
      <c r="F374" s="103"/>
      <c r="G374" s="96"/>
      <c r="H374" s="86">
        <f aca="true" t="shared" si="18" ref="H374:I377">H375</f>
        <v>1500</v>
      </c>
      <c r="I374" s="98">
        <f t="shared" si="18"/>
        <v>0</v>
      </c>
    </row>
    <row r="375" spans="1:9" ht="15.75">
      <c r="A375" s="25" t="s">
        <v>130</v>
      </c>
      <c r="B375" s="43" t="s">
        <v>69</v>
      </c>
      <c r="C375" s="18" t="s">
        <v>193</v>
      </c>
      <c r="D375" s="30" t="s">
        <v>205</v>
      </c>
      <c r="E375" s="18"/>
      <c r="F375" s="7"/>
      <c r="G375" s="51"/>
      <c r="H375" s="38">
        <f t="shared" si="18"/>
        <v>1500</v>
      </c>
      <c r="I375" s="49">
        <f t="shared" si="18"/>
        <v>0</v>
      </c>
    </row>
    <row r="376" spans="1:9" ht="15.75">
      <c r="A376" s="25" t="s">
        <v>131</v>
      </c>
      <c r="B376" s="43" t="s">
        <v>69</v>
      </c>
      <c r="C376" s="18" t="s">
        <v>193</v>
      </c>
      <c r="D376" s="30" t="s">
        <v>205</v>
      </c>
      <c r="E376" s="18" t="s">
        <v>132</v>
      </c>
      <c r="F376" s="7"/>
      <c r="G376" s="51"/>
      <c r="H376" s="38">
        <f t="shared" si="18"/>
        <v>1500</v>
      </c>
      <c r="I376" s="49">
        <f t="shared" si="18"/>
        <v>0</v>
      </c>
    </row>
    <row r="377" spans="1:9" ht="30.75" customHeight="1">
      <c r="A377" s="47" t="s">
        <v>246</v>
      </c>
      <c r="B377" s="43" t="s">
        <v>69</v>
      </c>
      <c r="C377" s="18" t="s">
        <v>193</v>
      </c>
      <c r="D377" s="30" t="s">
        <v>205</v>
      </c>
      <c r="E377" s="18" t="s">
        <v>247</v>
      </c>
      <c r="F377" s="7"/>
      <c r="G377" s="51"/>
      <c r="H377" s="38">
        <f t="shared" si="18"/>
        <v>1500</v>
      </c>
      <c r="I377" s="49">
        <f t="shared" si="18"/>
        <v>0</v>
      </c>
    </row>
    <row r="378" spans="1:9" ht="21" customHeight="1" thickBot="1">
      <c r="A378" s="33" t="s">
        <v>146</v>
      </c>
      <c r="B378" s="15" t="s">
        <v>69</v>
      </c>
      <c r="C378" s="14" t="s">
        <v>193</v>
      </c>
      <c r="D378" s="9" t="s">
        <v>205</v>
      </c>
      <c r="E378" s="14" t="s">
        <v>247</v>
      </c>
      <c r="F378" s="9" t="s">
        <v>278</v>
      </c>
      <c r="G378" s="130" t="s">
        <v>278</v>
      </c>
      <c r="H378" s="41">
        <f>1000+500</f>
        <v>1500</v>
      </c>
      <c r="I378" s="99"/>
    </row>
    <row r="379" spans="1:9" s="23" customFormat="1" ht="57" thickBot="1">
      <c r="A379" s="80" t="s">
        <v>123</v>
      </c>
      <c r="B379" s="28" t="s">
        <v>51</v>
      </c>
      <c r="C379" s="21"/>
      <c r="D379" s="12"/>
      <c r="E379" s="21"/>
      <c r="F379" s="12"/>
      <c r="G379" s="55"/>
      <c r="H379" s="39">
        <f>H380+H397+H385+H392</f>
        <v>12256.8</v>
      </c>
      <c r="I379" s="39">
        <f>I380+I397+I385+I392</f>
        <v>0</v>
      </c>
    </row>
    <row r="380" spans="1:9" ht="18.75" customHeight="1">
      <c r="A380" s="113" t="s">
        <v>17</v>
      </c>
      <c r="B380" s="107" t="s">
        <v>51</v>
      </c>
      <c r="C380" s="17" t="s">
        <v>186</v>
      </c>
      <c r="D380" s="32" t="s">
        <v>126</v>
      </c>
      <c r="E380" s="17"/>
      <c r="F380" s="101"/>
      <c r="G380" s="92"/>
      <c r="H380" s="90">
        <f aca="true" t="shared" si="19" ref="H380:I383">H381</f>
        <v>8208.9</v>
      </c>
      <c r="I380" s="97">
        <f t="shared" si="19"/>
        <v>0</v>
      </c>
    </row>
    <row r="381" spans="1:9" ht="15.75">
      <c r="A381" s="27" t="s">
        <v>80</v>
      </c>
      <c r="B381" s="42" t="s">
        <v>51</v>
      </c>
      <c r="C381" s="22" t="s">
        <v>186</v>
      </c>
      <c r="D381" s="29" t="s">
        <v>190</v>
      </c>
      <c r="E381" s="22"/>
      <c r="F381" s="29"/>
      <c r="G381" s="95"/>
      <c r="H381" s="37">
        <f t="shared" si="19"/>
        <v>8208.9</v>
      </c>
      <c r="I381" s="85">
        <f t="shared" si="19"/>
        <v>0</v>
      </c>
    </row>
    <row r="382" spans="1:9" ht="15.75">
      <c r="A382" s="25" t="s">
        <v>18</v>
      </c>
      <c r="B382" s="43" t="s">
        <v>51</v>
      </c>
      <c r="C382" s="18" t="s">
        <v>186</v>
      </c>
      <c r="D382" s="30" t="s">
        <v>190</v>
      </c>
      <c r="E382" s="18" t="s">
        <v>277</v>
      </c>
      <c r="F382" s="30"/>
      <c r="G382" s="87"/>
      <c r="H382" s="38">
        <f t="shared" si="19"/>
        <v>8208.9</v>
      </c>
      <c r="I382" s="49">
        <f t="shared" si="19"/>
        <v>0</v>
      </c>
    </row>
    <row r="383" spans="1:9" ht="15.75">
      <c r="A383" s="25" t="s">
        <v>50</v>
      </c>
      <c r="B383" s="44" t="s">
        <v>51</v>
      </c>
      <c r="C383" s="20" t="s">
        <v>186</v>
      </c>
      <c r="D383" s="31" t="s">
        <v>190</v>
      </c>
      <c r="E383" s="20" t="s">
        <v>279</v>
      </c>
      <c r="F383" s="5"/>
      <c r="G383" s="52"/>
      <c r="H383" s="38">
        <f t="shared" si="19"/>
        <v>8208.9</v>
      </c>
      <c r="I383" s="49">
        <f t="shared" si="19"/>
        <v>0</v>
      </c>
    </row>
    <row r="384" spans="1:9" ht="15.75">
      <c r="A384" s="25" t="s">
        <v>146</v>
      </c>
      <c r="B384" s="43" t="s">
        <v>51</v>
      </c>
      <c r="C384" s="18" t="s">
        <v>186</v>
      </c>
      <c r="D384" s="30" t="s">
        <v>190</v>
      </c>
      <c r="E384" s="18" t="s">
        <v>279</v>
      </c>
      <c r="F384" s="7"/>
      <c r="G384" s="51" t="s">
        <v>278</v>
      </c>
      <c r="H384" s="38">
        <f>9174.8-209-523.3-233.6</f>
        <v>8208.9</v>
      </c>
      <c r="I384" s="50"/>
    </row>
    <row r="385" spans="1:9" ht="15.75">
      <c r="A385" s="119" t="s">
        <v>23</v>
      </c>
      <c r="B385" s="108" t="s">
        <v>51</v>
      </c>
      <c r="C385" s="105" t="s">
        <v>200</v>
      </c>
      <c r="D385" s="114" t="s">
        <v>126</v>
      </c>
      <c r="E385" s="105"/>
      <c r="F385" s="103"/>
      <c r="G385" s="96"/>
      <c r="H385" s="38">
        <f>H386</f>
        <v>3545</v>
      </c>
      <c r="I385" s="50"/>
    </row>
    <row r="386" spans="1:9" ht="15.75">
      <c r="A386" s="115" t="s">
        <v>134</v>
      </c>
      <c r="B386" s="108" t="s">
        <v>51</v>
      </c>
      <c r="C386" s="105" t="s">
        <v>200</v>
      </c>
      <c r="D386" s="114" t="s">
        <v>191</v>
      </c>
      <c r="E386" s="105"/>
      <c r="F386" s="114"/>
      <c r="G386" s="132"/>
      <c r="H386" s="38">
        <f>H387</f>
        <v>3545</v>
      </c>
      <c r="I386" s="50"/>
    </row>
    <row r="387" spans="1:9" ht="15.75">
      <c r="A387" s="26" t="s">
        <v>134</v>
      </c>
      <c r="B387" s="43" t="s">
        <v>51</v>
      </c>
      <c r="C387" s="18" t="s">
        <v>200</v>
      </c>
      <c r="D387" s="30" t="s">
        <v>191</v>
      </c>
      <c r="E387" s="20" t="s">
        <v>294</v>
      </c>
      <c r="F387" s="30"/>
      <c r="G387" s="312"/>
      <c r="H387" s="38">
        <f>H388+H390</f>
        <v>3545</v>
      </c>
      <c r="I387" s="50"/>
    </row>
    <row r="388" spans="1:9" ht="15.75">
      <c r="A388" s="25" t="s">
        <v>137</v>
      </c>
      <c r="B388" s="43" t="s">
        <v>51</v>
      </c>
      <c r="C388" s="18" t="s">
        <v>200</v>
      </c>
      <c r="D388" s="30" t="s">
        <v>191</v>
      </c>
      <c r="E388" s="20" t="s">
        <v>327</v>
      </c>
      <c r="F388" s="7"/>
      <c r="G388" s="51"/>
      <c r="H388" s="38">
        <f>H389</f>
        <v>808</v>
      </c>
      <c r="I388" s="50"/>
    </row>
    <row r="389" spans="1:9" ht="15.75">
      <c r="A389" s="27" t="s">
        <v>146</v>
      </c>
      <c r="B389" s="43" t="s">
        <v>51</v>
      </c>
      <c r="C389" s="18" t="s">
        <v>200</v>
      </c>
      <c r="D389" s="30" t="s">
        <v>191</v>
      </c>
      <c r="E389" s="20" t="s">
        <v>327</v>
      </c>
      <c r="F389" s="7"/>
      <c r="G389" s="51" t="s">
        <v>278</v>
      </c>
      <c r="H389" s="38">
        <v>808</v>
      </c>
      <c r="I389" s="50"/>
    </row>
    <row r="390" spans="1:9" s="48" customFormat="1" ht="15.75">
      <c r="A390" s="25" t="s">
        <v>329</v>
      </c>
      <c r="B390" s="43" t="s">
        <v>51</v>
      </c>
      <c r="C390" s="18" t="s">
        <v>200</v>
      </c>
      <c r="D390" s="30" t="s">
        <v>191</v>
      </c>
      <c r="E390" s="20" t="s">
        <v>330</v>
      </c>
      <c r="F390" s="7"/>
      <c r="G390" s="51"/>
      <c r="H390" s="38">
        <f>H391</f>
        <v>2737</v>
      </c>
      <c r="I390" s="50"/>
    </row>
    <row r="391" spans="1:9" s="48" customFormat="1" ht="14.25" customHeight="1">
      <c r="A391" s="27" t="s">
        <v>146</v>
      </c>
      <c r="B391" s="43" t="s">
        <v>51</v>
      </c>
      <c r="C391" s="18" t="s">
        <v>200</v>
      </c>
      <c r="D391" s="30" t="s">
        <v>191</v>
      </c>
      <c r="E391" s="20" t="s">
        <v>330</v>
      </c>
      <c r="F391" s="7"/>
      <c r="G391" s="51" t="s">
        <v>278</v>
      </c>
      <c r="H391" s="38">
        <f>1300+1437</f>
        <v>2737</v>
      </c>
      <c r="I391" s="50"/>
    </row>
    <row r="392" spans="1:9" s="48" customFormat="1" ht="15.75" hidden="1">
      <c r="A392" s="223" t="s">
        <v>43</v>
      </c>
      <c r="B392" s="221" t="s">
        <v>51</v>
      </c>
      <c r="C392" s="137" t="s">
        <v>205</v>
      </c>
      <c r="D392" s="32" t="s">
        <v>126</v>
      </c>
      <c r="E392" s="17"/>
      <c r="F392" s="101"/>
      <c r="G392" s="92"/>
      <c r="H392" s="90">
        <f>H393</f>
        <v>0</v>
      </c>
      <c r="I392" s="100"/>
    </row>
    <row r="393" spans="1:9" ht="15.75" hidden="1">
      <c r="A393" s="27" t="s">
        <v>44</v>
      </c>
      <c r="B393" s="42" t="s">
        <v>51</v>
      </c>
      <c r="C393" s="22" t="s">
        <v>205</v>
      </c>
      <c r="D393" s="29" t="s">
        <v>200</v>
      </c>
      <c r="E393" s="22"/>
      <c r="F393" s="29"/>
      <c r="G393" s="95"/>
      <c r="H393" s="37">
        <f>H394</f>
        <v>0</v>
      </c>
      <c r="I393" s="84"/>
    </row>
    <row r="394" spans="1:9" ht="0" customHeight="1" hidden="1">
      <c r="A394" s="25" t="s">
        <v>131</v>
      </c>
      <c r="B394" s="43" t="s">
        <v>51</v>
      </c>
      <c r="C394" s="18" t="s">
        <v>205</v>
      </c>
      <c r="D394" s="30" t="s">
        <v>200</v>
      </c>
      <c r="E394" s="18" t="s">
        <v>132</v>
      </c>
      <c r="F394" s="30"/>
      <c r="G394" s="87"/>
      <c r="H394" s="37">
        <f>H395</f>
        <v>0</v>
      </c>
      <c r="I394" s="84"/>
    </row>
    <row r="395" spans="1:9" ht="26.25" hidden="1">
      <c r="A395" s="47" t="s">
        <v>377</v>
      </c>
      <c r="B395" s="44" t="s">
        <v>51</v>
      </c>
      <c r="C395" s="20" t="s">
        <v>205</v>
      </c>
      <c r="D395" s="31" t="s">
        <v>200</v>
      </c>
      <c r="E395" s="20" t="s">
        <v>262</v>
      </c>
      <c r="F395" s="31"/>
      <c r="G395" s="89"/>
      <c r="H395" s="37">
        <f>H396</f>
        <v>0</v>
      </c>
      <c r="I395" s="84"/>
    </row>
    <row r="396" spans="1:9" ht="15.75" hidden="1">
      <c r="A396" s="27" t="s">
        <v>347</v>
      </c>
      <c r="B396" s="44" t="s">
        <v>51</v>
      </c>
      <c r="C396" s="18" t="s">
        <v>205</v>
      </c>
      <c r="D396" s="30" t="s">
        <v>200</v>
      </c>
      <c r="E396" s="18" t="s">
        <v>262</v>
      </c>
      <c r="F396" s="31"/>
      <c r="G396" s="51" t="s">
        <v>4</v>
      </c>
      <c r="H396" s="37">
        <f>500-500</f>
        <v>0</v>
      </c>
      <c r="I396" s="84"/>
    </row>
    <row r="397" spans="1:9" s="23" customFormat="1" ht="15.75">
      <c r="A397" s="113" t="s">
        <v>34</v>
      </c>
      <c r="B397" s="107" t="s">
        <v>51</v>
      </c>
      <c r="C397" s="17" t="s">
        <v>195</v>
      </c>
      <c r="D397" s="32" t="s">
        <v>186</v>
      </c>
      <c r="E397" s="17"/>
      <c r="F397" s="32"/>
      <c r="G397" s="125"/>
      <c r="H397" s="90">
        <f>H398+H401</f>
        <v>502.9</v>
      </c>
      <c r="I397" s="100"/>
    </row>
    <row r="398" spans="1:9" ht="27" customHeight="1">
      <c r="A398" s="47" t="s">
        <v>100</v>
      </c>
      <c r="B398" s="43" t="s">
        <v>51</v>
      </c>
      <c r="C398" s="22" t="s">
        <v>195</v>
      </c>
      <c r="D398" s="29" t="s">
        <v>186</v>
      </c>
      <c r="E398" s="18" t="s">
        <v>39</v>
      </c>
      <c r="F398" s="30"/>
      <c r="G398" s="87"/>
      <c r="H398" s="38">
        <f>H399</f>
        <v>2.9</v>
      </c>
      <c r="I398" s="50"/>
    </row>
    <row r="399" spans="1:9" ht="26.25">
      <c r="A399" s="46" t="s">
        <v>101</v>
      </c>
      <c r="B399" s="43" t="s">
        <v>51</v>
      </c>
      <c r="C399" s="22" t="s">
        <v>195</v>
      </c>
      <c r="D399" s="29" t="s">
        <v>186</v>
      </c>
      <c r="E399" s="18" t="s">
        <v>226</v>
      </c>
      <c r="F399" s="30"/>
      <c r="G399" s="112"/>
      <c r="H399" s="38">
        <f>H400</f>
        <v>2.9</v>
      </c>
      <c r="I399" s="50"/>
    </row>
    <row r="400" spans="1:9" ht="15.75">
      <c r="A400" s="25" t="s">
        <v>172</v>
      </c>
      <c r="B400" s="43" t="s">
        <v>51</v>
      </c>
      <c r="C400" s="18" t="s">
        <v>195</v>
      </c>
      <c r="D400" s="30" t="s">
        <v>186</v>
      </c>
      <c r="E400" s="18" t="s">
        <v>226</v>
      </c>
      <c r="F400" s="30"/>
      <c r="G400" s="87" t="s">
        <v>86</v>
      </c>
      <c r="H400" s="38">
        <f>700-700+2.9</f>
        <v>2.9</v>
      </c>
      <c r="I400" s="50"/>
    </row>
    <row r="401" spans="1:9" ht="15.75">
      <c r="A401" s="25" t="s">
        <v>131</v>
      </c>
      <c r="B401" s="43" t="s">
        <v>51</v>
      </c>
      <c r="C401" s="22" t="s">
        <v>195</v>
      </c>
      <c r="D401" s="29" t="s">
        <v>186</v>
      </c>
      <c r="E401" s="18" t="s">
        <v>132</v>
      </c>
      <c r="F401" s="30"/>
      <c r="G401" s="87"/>
      <c r="H401" s="309">
        <f>H402</f>
        <v>500</v>
      </c>
      <c r="I401" s="379"/>
    </row>
    <row r="402" spans="1:9" ht="26.25">
      <c r="A402" s="47" t="s">
        <v>253</v>
      </c>
      <c r="B402" s="43" t="s">
        <v>51</v>
      </c>
      <c r="C402" s="22" t="s">
        <v>195</v>
      </c>
      <c r="D402" s="29" t="s">
        <v>186</v>
      </c>
      <c r="E402" s="18" t="s">
        <v>252</v>
      </c>
      <c r="F402" s="30"/>
      <c r="G402" s="87"/>
      <c r="H402" s="309">
        <f>H403</f>
        <v>500</v>
      </c>
      <c r="I402" s="379"/>
    </row>
    <row r="403" spans="1:9" ht="27" thickBot="1">
      <c r="A403" s="47" t="s">
        <v>352</v>
      </c>
      <c r="B403" s="43" t="s">
        <v>51</v>
      </c>
      <c r="C403" s="22" t="s">
        <v>195</v>
      </c>
      <c r="D403" s="29" t="s">
        <v>186</v>
      </c>
      <c r="E403" s="18" t="s">
        <v>252</v>
      </c>
      <c r="F403" s="30"/>
      <c r="G403" s="87" t="s">
        <v>353</v>
      </c>
      <c r="H403" s="309">
        <f>700-200</f>
        <v>500</v>
      </c>
      <c r="I403" s="379"/>
    </row>
    <row r="404" spans="1:9" ht="38.25" thickBot="1">
      <c r="A404" s="80" t="s">
        <v>120</v>
      </c>
      <c r="B404" s="28" t="s">
        <v>87</v>
      </c>
      <c r="C404" s="21"/>
      <c r="D404" s="12"/>
      <c r="E404" s="21"/>
      <c r="F404" s="12"/>
      <c r="G404" s="55"/>
      <c r="H404" s="39">
        <f>H405+H420</f>
        <v>31309.9</v>
      </c>
      <c r="I404" s="236">
        <f>I405+I420</f>
        <v>0</v>
      </c>
    </row>
    <row r="405" spans="1:9" ht="15.75">
      <c r="A405" s="113" t="s">
        <v>6</v>
      </c>
      <c r="B405" s="107" t="s">
        <v>87</v>
      </c>
      <c r="C405" s="17" t="s">
        <v>194</v>
      </c>
      <c r="D405" s="32" t="s">
        <v>126</v>
      </c>
      <c r="E405" s="17"/>
      <c r="F405" s="101"/>
      <c r="G405" s="92"/>
      <c r="H405" s="37">
        <f>H406+H410</f>
        <v>7363</v>
      </c>
      <c r="I405" s="85">
        <f>I406+I410</f>
        <v>0</v>
      </c>
    </row>
    <row r="406" spans="1:9" ht="15.75">
      <c r="A406" s="25" t="s">
        <v>9</v>
      </c>
      <c r="B406" s="42" t="s">
        <v>87</v>
      </c>
      <c r="C406" s="18" t="s">
        <v>194</v>
      </c>
      <c r="D406" s="29" t="s">
        <v>187</v>
      </c>
      <c r="E406" s="22"/>
      <c r="F406" s="29"/>
      <c r="G406" s="95"/>
      <c r="H406" s="90">
        <f aca="true" t="shared" si="20" ref="H406:I408">H407</f>
        <v>2335</v>
      </c>
      <c r="I406" s="97">
        <f t="shared" si="20"/>
        <v>0</v>
      </c>
    </row>
    <row r="407" spans="1:9" ht="15.75">
      <c r="A407" s="33" t="s">
        <v>31</v>
      </c>
      <c r="B407" s="15" t="s">
        <v>87</v>
      </c>
      <c r="C407" s="18" t="s">
        <v>194</v>
      </c>
      <c r="D407" s="29" t="s">
        <v>187</v>
      </c>
      <c r="E407" s="14" t="s">
        <v>32</v>
      </c>
      <c r="F407" s="9"/>
      <c r="G407" s="87"/>
      <c r="H407" s="37">
        <f t="shared" si="20"/>
        <v>2335</v>
      </c>
      <c r="I407" s="85">
        <f t="shared" si="20"/>
        <v>0</v>
      </c>
    </row>
    <row r="408" spans="1:9" ht="15.75">
      <c r="A408" s="26" t="s">
        <v>27</v>
      </c>
      <c r="B408" s="44" t="s">
        <v>87</v>
      </c>
      <c r="C408" s="18" t="s">
        <v>194</v>
      </c>
      <c r="D408" s="29" t="s">
        <v>187</v>
      </c>
      <c r="E408" s="20" t="s">
        <v>212</v>
      </c>
      <c r="F408" s="9"/>
      <c r="G408" s="58"/>
      <c r="H408" s="38">
        <f t="shared" si="20"/>
        <v>2335</v>
      </c>
      <c r="I408" s="49">
        <f t="shared" si="20"/>
        <v>0</v>
      </c>
    </row>
    <row r="409" spans="1:9" ht="15.75">
      <c r="A409" s="25" t="s">
        <v>172</v>
      </c>
      <c r="B409" s="44" t="s">
        <v>87</v>
      </c>
      <c r="C409" s="18" t="s">
        <v>194</v>
      </c>
      <c r="D409" s="29" t="s">
        <v>187</v>
      </c>
      <c r="E409" s="20" t="s">
        <v>212</v>
      </c>
      <c r="F409" s="9"/>
      <c r="G409" s="87" t="s">
        <v>86</v>
      </c>
      <c r="H409" s="38">
        <v>2335</v>
      </c>
      <c r="I409" s="50"/>
    </row>
    <row r="410" spans="1:9" ht="15.75">
      <c r="A410" s="25" t="s">
        <v>29</v>
      </c>
      <c r="B410" s="43" t="s">
        <v>87</v>
      </c>
      <c r="C410" s="22" t="s">
        <v>194</v>
      </c>
      <c r="D410" s="30" t="s">
        <v>194</v>
      </c>
      <c r="E410" s="18"/>
      <c r="F410" s="30"/>
      <c r="G410" s="87"/>
      <c r="H410" s="38">
        <f>H411+H414+H417</f>
        <v>5028</v>
      </c>
      <c r="I410" s="49">
        <f>I411+I414+I417</f>
        <v>0</v>
      </c>
    </row>
    <row r="411" spans="1:9" ht="15.75">
      <c r="A411" s="25" t="s">
        <v>92</v>
      </c>
      <c r="B411" s="43" t="s">
        <v>87</v>
      </c>
      <c r="C411" s="22" t="s">
        <v>194</v>
      </c>
      <c r="D411" s="30" t="s">
        <v>194</v>
      </c>
      <c r="E411" s="18" t="s">
        <v>93</v>
      </c>
      <c r="F411" s="30"/>
      <c r="G411" s="87"/>
      <c r="H411" s="38">
        <f>H412</f>
        <v>3702.6</v>
      </c>
      <c r="I411" s="49">
        <f>I412</f>
        <v>0</v>
      </c>
    </row>
    <row r="412" spans="1:9" ht="15.75">
      <c r="A412" s="26" t="s">
        <v>94</v>
      </c>
      <c r="B412" s="43" t="s">
        <v>87</v>
      </c>
      <c r="C412" s="22" t="s">
        <v>194</v>
      </c>
      <c r="D412" s="30" t="s">
        <v>194</v>
      </c>
      <c r="E412" s="18" t="s">
        <v>214</v>
      </c>
      <c r="F412" s="30"/>
      <c r="G412" s="112"/>
      <c r="H412" s="38">
        <f>H413</f>
        <v>3702.6</v>
      </c>
      <c r="I412" s="49">
        <f>I413</f>
        <v>0</v>
      </c>
    </row>
    <row r="413" spans="1:9" ht="15.75">
      <c r="A413" s="25" t="s">
        <v>172</v>
      </c>
      <c r="B413" s="43" t="s">
        <v>87</v>
      </c>
      <c r="C413" s="22" t="s">
        <v>194</v>
      </c>
      <c r="D413" s="30" t="s">
        <v>194</v>
      </c>
      <c r="E413" s="18" t="s">
        <v>214</v>
      </c>
      <c r="F413" s="30" t="s">
        <v>15</v>
      </c>
      <c r="G413" s="87" t="s">
        <v>86</v>
      </c>
      <c r="H413" s="38">
        <v>3702.6</v>
      </c>
      <c r="I413" s="50"/>
    </row>
    <row r="414" spans="1:9" ht="15.75">
      <c r="A414" s="47" t="s">
        <v>215</v>
      </c>
      <c r="B414" s="44" t="s">
        <v>87</v>
      </c>
      <c r="C414" s="22" t="s">
        <v>194</v>
      </c>
      <c r="D414" s="31" t="s">
        <v>194</v>
      </c>
      <c r="E414" s="20" t="s">
        <v>30</v>
      </c>
      <c r="F414" s="9"/>
      <c r="G414" s="87"/>
      <c r="H414" s="38">
        <f>H415</f>
        <v>530</v>
      </c>
      <c r="I414" s="49">
        <f>I415</f>
        <v>0</v>
      </c>
    </row>
    <row r="415" spans="1:9" ht="15.75">
      <c r="A415" s="26" t="s">
        <v>254</v>
      </c>
      <c r="B415" s="44" t="s">
        <v>87</v>
      </c>
      <c r="C415" s="22" t="s">
        <v>194</v>
      </c>
      <c r="D415" s="31" t="s">
        <v>194</v>
      </c>
      <c r="E415" s="20" t="s">
        <v>217</v>
      </c>
      <c r="F415" s="9"/>
      <c r="G415" s="57"/>
      <c r="H415" s="38">
        <f>H416</f>
        <v>530</v>
      </c>
      <c r="I415" s="49">
        <f>I416</f>
        <v>0</v>
      </c>
    </row>
    <row r="416" spans="1:9" ht="15.75">
      <c r="A416" s="25" t="s">
        <v>172</v>
      </c>
      <c r="B416" s="44" t="s">
        <v>87</v>
      </c>
      <c r="C416" s="22" t="s">
        <v>194</v>
      </c>
      <c r="D416" s="31" t="s">
        <v>194</v>
      </c>
      <c r="E416" s="20" t="s">
        <v>217</v>
      </c>
      <c r="F416" s="9"/>
      <c r="G416" s="87" t="s">
        <v>86</v>
      </c>
      <c r="H416" s="38">
        <f>500+30</f>
        <v>530</v>
      </c>
      <c r="I416" s="50"/>
    </row>
    <row r="417" spans="1:9" ht="15.75">
      <c r="A417" s="25" t="s">
        <v>131</v>
      </c>
      <c r="B417" s="44" t="s">
        <v>87</v>
      </c>
      <c r="C417" s="22" t="s">
        <v>194</v>
      </c>
      <c r="D417" s="31" t="s">
        <v>194</v>
      </c>
      <c r="E417" s="20" t="s">
        <v>132</v>
      </c>
      <c r="F417" s="9"/>
      <c r="G417" s="112"/>
      <c r="H417" s="38">
        <f>H418</f>
        <v>795.4000000000001</v>
      </c>
      <c r="I417" s="49">
        <f>I418</f>
        <v>0</v>
      </c>
    </row>
    <row r="418" spans="1:9" ht="26.25">
      <c r="A418" s="47" t="s">
        <v>255</v>
      </c>
      <c r="B418" s="44" t="s">
        <v>87</v>
      </c>
      <c r="C418" s="22" t="s">
        <v>194</v>
      </c>
      <c r="D418" s="31" t="s">
        <v>194</v>
      </c>
      <c r="E418" s="20" t="s">
        <v>256</v>
      </c>
      <c r="F418" s="9"/>
      <c r="G418" s="112"/>
      <c r="H418" s="38">
        <f>H419</f>
        <v>795.4000000000001</v>
      </c>
      <c r="I418" s="49">
        <f>I419</f>
        <v>0</v>
      </c>
    </row>
    <row r="419" spans="1:9" ht="15.75">
      <c r="A419" s="27" t="s">
        <v>146</v>
      </c>
      <c r="B419" s="44" t="s">
        <v>87</v>
      </c>
      <c r="C419" s="22" t="s">
        <v>194</v>
      </c>
      <c r="D419" s="31" t="s">
        <v>194</v>
      </c>
      <c r="E419" s="20" t="s">
        <v>221</v>
      </c>
      <c r="F419" s="9"/>
      <c r="G419" s="112" t="s">
        <v>278</v>
      </c>
      <c r="H419" s="38">
        <f>1295.4-500</f>
        <v>795.4000000000001</v>
      </c>
      <c r="I419" s="50"/>
    </row>
    <row r="420" spans="1:9" ht="15.75">
      <c r="A420" s="119" t="s">
        <v>257</v>
      </c>
      <c r="B420" s="108" t="s">
        <v>87</v>
      </c>
      <c r="C420" s="105" t="s">
        <v>192</v>
      </c>
      <c r="D420" s="114" t="s">
        <v>126</v>
      </c>
      <c r="E420" s="105"/>
      <c r="F420" s="103"/>
      <c r="G420" s="96"/>
      <c r="H420" s="86">
        <f>H421+H431</f>
        <v>23946.9</v>
      </c>
      <c r="I420" s="98">
        <f>I421+I431</f>
        <v>0</v>
      </c>
    </row>
    <row r="421" spans="1:9" ht="15.75">
      <c r="A421" s="113" t="s">
        <v>230</v>
      </c>
      <c r="B421" s="107" t="s">
        <v>87</v>
      </c>
      <c r="C421" s="17" t="s">
        <v>192</v>
      </c>
      <c r="D421" s="32" t="s">
        <v>195</v>
      </c>
      <c r="E421" s="17"/>
      <c r="F421" s="32"/>
      <c r="G421" s="125"/>
      <c r="H421" s="90">
        <f>H425+H428+H422</f>
        <v>13484.1</v>
      </c>
      <c r="I421" s="90">
        <f>I425+I428</f>
        <v>0</v>
      </c>
    </row>
    <row r="422" spans="1:9" ht="15.75">
      <c r="A422" s="330" t="s">
        <v>431</v>
      </c>
      <c r="B422" s="43" t="s">
        <v>87</v>
      </c>
      <c r="C422" s="43" t="s">
        <v>192</v>
      </c>
      <c r="D422" s="18" t="s">
        <v>195</v>
      </c>
      <c r="E422" s="18" t="s">
        <v>432</v>
      </c>
      <c r="F422" s="30"/>
      <c r="G422" s="87"/>
      <c r="H422" s="331">
        <f>H423</f>
        <v>535.2</v>
      </c>
      <c r="I422" s="97"/>
    </row>
    <row r="423" spans="1:9" ht="15.75">
      <c r="A423" s="330" t="s">
        <v>435</v>
      </c>
      <c r="B423" s="43" t="s">
        <v>87</v>
      </c>
      <c r="C423" s="43" t="s">
        <v>192</v>
      </c>
      <c r="D423" s="18" t="s">
        <v>195</v>
      </c>
      <c r="E423" s="18" t="s">
        <v>434</v>
      </c>
      <c r="F423" s="7"/>
      <c r="G423" s="57"/>
      <c r="H423" s="331">
        <f>H424</f>
        <v>535.2</v>
      </c>
      <c r="I423" s="97"/>
    </row>
    <row r="424" spans="1:9" ht="15.75">
      <c r="A424" s="370" t="s">
        <v>172</v>
      </c>
      <c r="B424" s="43" t="s">
        <v>87</v>
      </c>
      <c r="C424" s="43" t="s">
        <v>192</v>
      </c>
      <c r="D424" s="18" t="s">
        <v>195</v>
      </c>
      <c r="E424" s="18" t="s">
        <v>434</v>
      </c>
      <c r="F424" s="30"/>
      <c r="G424" s="87" t="s">
        <v>86</v>
      </c>
      <c r="H424" s="331">
        <f>35.2+500</f>
        <v>535.2</v>
      </c>
      <c r="I424" s="97"/>
    </row>
    <row r="425" spans="1:9" ht="15.75">
      <c r="A425" s="25" t="s">
        <v>78</v>
      </c>
      <c r="B425" s="43" t="s">
        <v>87</v>
      </c>
      <c r="C425" s="18" t="s">
        <v>192</v>
      </c>
      <c r="D425" s="30" t="s">
        <v>195</v>
      </c>
      <c r="E425" s="18" t="s">
        <v>79</v>
      </c>
      <c r="F425" s="30"/>
      <c r="G425" s="87"/>
      <c r="H425" s="38">
        <f>H426</f>
        <v>10915</v>
      </c>
      <c r="I425" s="49">
        <f>I426</f>
        <v>0</v>
      </c>
    </row>
    <row r="426" spans="1:9" ht="15.75">
      <c r="A426" s="26" t="s">
        <v>27</v>
      </c>
      <c r="B426" s="43" t="s">
        <v>87</v>
      </c>
      <c r="C426" s="18" t="s">
        <v>192</v>
      </c>
      <c r="D426" s="30" t="s">
        <v>195</v>
      </c>
      <c r="E426" s="18" t="s">
        <v>231</v>
      </c>
      <c r="F426" s="30"/>
      <c r="G426" s="57"/>
      <c r="H426" s="38">
        <f>H427</f>
        <v>10915</v>
      </c>
      <c r="I426" s="49">
        <f>I427</f>
        <v>0</v>
      </c>
    </row>
    <row r="427" spans="1:9" ht="15.75">
      <c r="A427" s="25" t="s">
        <v>172</v>
      </c>
      <c r="B427" s="43" t="s">
        <v>87</v>
      </c>
      <c r="C427" s="18" t="s">
        <v>192</v>
      </c>
      <c r="D427" s="30" t="s">
        <v>195</v>
      </c>
      <c r="E427" s="18" t="s">
        <v>231</v>
      </c>
      <c r="F427" s="30"/>
      <c r="G427" s="87" t="s">
        <v>86</v>
      </c>
      <c r="H427" s="38">
        <v>10915</v>
      </c>
      <c r="I427" s="50"/>
    </row>
    <row r="428" spans="1:9" ht="13.5" customHeight="1">
      <c r="A428" s="25" t="s">
        <v>131</v>
      </c>
      <c r="B428" s="43" t="s">
        <v>87</v>
      </c>
      <c r="C428" s="18" t="s">
        <v>192</v>
      </c>
      <c r="D428" s="30" t="s">
        <v>195</v>
      </c>
      <c r="E428" s="18" t="s">
        <v>132</v>
      </c>
      <c r="F428" s="30"/>
      <c r="G428" s="87"/>
      <c r="H428" s="38">
        <f>H429</f>
        <v>2033.9</v>
      </c>
      <c r="I428" s="49">
        <f>I429</f>
        <v>0</v>
      </c>
    </row>
    <row r="429" spans="1:9" s="23" customFormat="1" ht="26.25">
      <c r="A429" s="47" t="s">
        <v>374</v>
      </c>
      <c r="B429" s="43" t="s">
        <v>87</v>
      </c>
      <c r="C429" s="18" t="s">
        <v>192</v>
      </c>
      <c r="D429" s="30" t="s">
        <v>195</v>
      </c>
      <c r="E429" s="18" t="s">
        <v>258</v>
      </c>
      <c r="F429" s="30"/>
      <c r="G429" s="87"/>
      <c r="H429" s="38">
        <f>H430</f>
        <v>2033.9</v>
      </c>
      <c r="I429" s="49">
        <f>I430</f>
        <v>0</v>
      </c>
    </row>
    <row r="430" spans="1:9" ht="15.75">
      <c r="A430" s="27" t="s">
        <v>146</v>
      </c>
      <c r="B430" s="43" t="s">
        <v>87</v>
      </c>
      <c r="C430" s="18" t="s">
        <v>192</v>
      </c>
      <c r="D430" s="30" t="s">
        <v>195</v>
      </c>
      <c r="E430" s="18" t="s">
        <v>258</v>
      </c>
      <c r="F430" s="30"/>
      <c r="G430" s="87" t="s">
        <v>278</v>
      </c>
      <c r="H430" s="38">
        <f>3469+64.9-2000+500</f>
        <v>2033.9</v>
      </c>
      <c r="I430" s="50"/>
    </row>
    <row r="431" spans="1:9" ht="15.75">
      <c r="A431" s="119" t="s">
        <v>45</v>
      </c>
      <c r="B431" s="108" t="s">
        <v>87</v>
      </c>
      <c r="C431" s="105" t="s">
        <v>192</v>
      </c>
      <c r="D431" s="114" t="s">
        <v>193</v>
      </c>
      <c r="E431" s="105"/>
      <c r="F431" s="114"/>
      <c r="G431" s="123"/>
      <c r="H431" s="86">
        <f aca="true" t="shared" si="21" ref="H431:I433">H432</f>
        <v>10462.800000000001</v>
      </c>
      <c r="I431" s="98">
        <f t="shared" si="21"/>
        <v>0</v>
      </c>
    </row>
    <row r="432" spans="1:9" ht="15.75">
      <c r="A432" s="47" t="s">
        <v>147</v>
      </c>
      <c r="B432" s="43" t="s">
        <v>87</v>
      </c>
      <c r="C432" s="18" t="s">
        <v>192</v>
      </c>
      <c r="D432" s="30" t="s">
        <v>193</v>
      </c>
      <c r="E432" s="18" t="s">
        <v>277</v>
      </c>
      <c r="F432" s="30"/>
      <c r="G432" s="87"/>
      <c r="H432" s="38">
        <f t="shared" si="21"/>
        <v>10462.800000000001</v>
      </c>
      <c r="I432" s="49">
        <f t="shared" si="21"/>
        <v>0</v>
      </c>
    </row>
    <row r="433" spans="1:9" ht="15.75">
      <c r="A433" s="27" t="s">
        <v>50</v>
      </c>
      <c r="B433" s="43" t="s">
        <v>87</v>
      </c>
      <c r="C433" s="18" t="s">
        <v>192</v>
      </c>
      <c r="D433" s="30" t="s">
        <v>193</v>
      </c>
      <c r="E433" s="18" t="s">
        <v>279</v>
      </c>
      <c r="F433" s="7"/>
      <c r="G433" s="87"/>
      <c r="H433" s="38">
        <f t="shared" si="21"/>
        <v>10462.800000000001</v>
      </c>
      <c r="I433" s="49">
        <f t="shared" si="21"/>
        <v>0</v>
      </c>
    </row>
    <row r="434" spans="1:9" ht="16.5" thickBot="1">
      <c r="A434" s="27" t="s">
        <v>146</v>
      </c>
      <c r="B434" s="44" t="s">
        <v>87</v>
      </c>
      <c r="C434" s="20" t="s">
        <v>192</v>
      </c>
      <c r="D434" s="31" t="s">
        <v>193</v>
      </c>
      <c r="E434" s="20" t="s">
        <v>279</v>
      </c>
      <c r="F434" s="5"/>
      <c r="G434" s="52" t="s">
        <v>278</v>
      </c>
      <c r="H434" s="36">
        <f>11416.6-312-641.8</f>
        <v>10462.800000000001</v>
      </c>
      <c r="I434" s="53"/>
    </row>
    <row r="435" spans="1:9" ht="38.25" thickBot="1">
      <c r="A435" s="80" t="s">
        <v>121</v>
      </c>
      <c r="B435" s="28" t="s">
        <v>88</v>
      </c>
      <c r="C435" s="21"/>
      <c r="D435" s="12"/>
      <c r="E435" s="21"/>
      <c r="F435" s="12"/>
      <c r="G435" s="55"/>
      <c r="H435" s="141">
        <f>H436+H444+H454</f>
        <v>59189</v>
      </c>
      <c r="I435" s="141">
        <f>I436+I444+I454</f>
        <v>5172</v>
      </c>
    </row>
    <row r="436" spans="1:9" s="23" customFormat="1" ht="15.75">
      <c r="A436" s="113" t="s">
        <v>17</v>
      </c>
      <c r="B436" s="107" t="s">
        <v>88</v>
      </c>
      <c r="C436" s="297" t="s">
        <v>186</v>
      </c>
      <c r="D436" s="297" t="s">
        <v>126</v>
      </c>
      <c r="E436" s="292"/>
      <c r="F436" s="32"/>
      <c r="G436" s="284"/>
      <c r="H436" s="300">
        <f>H437</f>
        <v>46824.7</v>
      </c>
      <c r="I436" s="40">
        <f>I437</f>
        <v>0</v>
      </c>
    </row>
    <row r="437" spans="1:9" ht="15.75">
      <c r="A437" s="27" t="s">
        <v>80</v>
      </c>
      <c r="B437" s="42" t="s">
        <v>88</v>
      </c>
      <c r="C437" s="22" t="s">
        <v>186</v>
      </c>
      <c r="D437" s="22" t="s">
        <v>190</v>
      </c>
      <c r="E437" s="293"/>
      <c r="F437" s="29"/>
      <c r="G437" s="285"/>
      <c r="H437" s="301">
        <f>H438+H441</f>
        <v>46824.7</v>
      </c>
      <c r="I437" s="37">
        <f>I438+I441</f>
        <v>0</v>
      </c>
    </row>
    <row r="438" spans="1:9" ht="39">
      <c r="A438" s="68" t="s">
        <v>305</v>
      </c>
      <c r="B438" s="43" t="s">
        <v>88</v>
      </c>
      <c r="C438" s="18" t="s">
        <v>186</v>
      </c>
      <c r="D438" s="18" t="s">
        <v>190</v>
      </c>
      <c r="E438" s="280" t="s">
        <v>277</v>
      </c>
      <c r="F438" s="30"/>
      <c r="G438" s="286"/>
      <c r="H438" s="302">
        <f>H439</f>
        <v>17920.3</v>
      </c>
      <c r="I438" s="38">
        <f>I439</f>
        <v>0</v>
      </c>
    </row>
    <row r="439" spans="1:9" ht="15.75">
      <c r="A439" s="25" t="s">
        <v>50</v>
      </c>
      <c r="B439" s="44" t="s">
        <v>88</v>
      </c>
      <c r="C439" s="20" t="s">
        <v>186</v>
      </c>
      <c r="D439" s="20" t="s">
        <v>190</v>
      </c>
      <c r="E439" s="294" t="s">
        <v>279</v>
      </c>
      <c r="F439" s="31"/>
      <c r="G439" s="299"/>
      <c r="H439" s="303">
        <f>H440</f>
        <v>17920.3</v>
      </c>
      <c r="I439" s="305"/>
    </row>
    <row r="440" spans="1:9" ht="15.75">
      <c r="A440" s="27" t="s">
        <v>146</v>
      </c>
      <c r="B440" s="44" t="s">
        <v>88</v>
      </c>
      <c r="C440" s="20" t="s">
        <v>186</v>
      </c>
      <c r="D440" s="20" t="s">
        <v>190</v>
      </c>
      <c r="E440" s="294" t="s">
        <v>279</v>
      </c>
      <c r="F440" s="31"/>
      <c r="G440" s="299" t="s">
        <v>278</v>
      </c>
      <c r="H440" s="303">
        <f>21789.8-629-1000-1194.8-1045.7</f>
        <v>17920.3</v>
      </c>
      <c r="I440" s="305"/>
    </row>
    <row r="441" spans="1:9" ht="26.25">
      <c r="A441" s="47" t="s">
        <v>204</v>
      </c>
      <c r="B441" s="43" t="s">
        <v>88</v>
      </c>
      <c r="C441" s="18" t="s">
        <v>186</v>
      </c>
      <c r="D441" s="18" t="s">
        <v>190</v>
      </c>
      <c r="E441" s="280" t="s">
        <v>138</v>
      </c>
      <c r="F441" s="30"/>
      <c r="G441" s="286"/>
      <c r="H441" s="302">
        <f>H442</f>
        <v>28904.4</v>
      </c>
      <c r="I441" s="38">
        <f>I442</f>
        <v>0</v>
      </c>
    </row>
    <row r="442" spans="1:9" ht="15.75">
      <c r="A442" s="26" t="s">
        <v>77</v>
      </c>
      <c r="B442" s="43" t="s">
        <v>88</v>
      </c>
      <c r="C442" s="18" t="s">
        <v>186</v>
      </c>
      <c r="D442" s="18" t="s">
        <v>190</v>
      </c>
      <c r="E442" s="280" t="s">
        <v>203</v>
      </c>
      <c r="F442" s="30"/>
      <c r="G442" s="286"/>
      <c r="H442" s="302">
        <f>H443</f>
        <v>28904.4</v>
      </c>
      <c r="I442" s="38">
        <f>I443</f>
        <v>0</v>
      </c>
    </row>
    <row r="443" spans="1:9" ht="15.75">
      <c r="A443" s="25" t="s">
        <v>146</v>
      </c>
      <c r="B443" s="44" t="s">
        <v>88</v>
      </c>
      <c r="C443" s="20" t="s">
        <v>186</v>
      </c>
      <c r="D443" s="20" t="s">
        <v>190</v>
      </c>
      <c r="E443" s="294" t="s">
        <v>203</v>
      </c>
      <c r="F443" s="31" t="s">
        <v>49</v>
      </c>
      <c r="G443" s="286" t="s">
        <v>278</v>
      </c>
      <c r="H443" s="302">
        <f>2000+25925-484+1463.4</f>
        <v>28904.4</v>
      </c>
      <c r="I443" s="306"/>
    </row>
    <row r="444" spans="1:9" ht="15.75">
      <c r="A444" s="119" t="s">
        <v>23</v>
      </c>
      <c r="B444" s="108" t="s">
        <v>88</v>
      </c>
      <c r="C444" s="105" t="s">
        <v>200</v>
      </c>
      <c r="D444" s="105" t="s">
        <v>126</v>
      </c>
      <c r="E444" s="295"/>
      <c r="F444" s="114"/>
      <c r="G444" s="289"/>
      <c r="H444" s="372">
        <f>H445+H449</f>
        <v>2288.2999999999997</v>
      </c>
      <c r="I444" s="380">
        <f>I445</f>
        <v>0</v>
      </c>
    </row>
    <row r="445" spans="1:9" ht="15.75">
      <c r="A445" s="27" t="s">
        <v>70</v>
      </c>
      <c r="B445" s="42" t="s">
        <v>88</v>
      </c>
      <c r="C445" s="22" t="s">
        <v>200</v>
      </c>
      <c r="D445" s="22" t="s">
        <v>186</v>
      </c>
      <c r="E445" s="293"/>
      <c r="F445" s="29"/>
      <c r="G445" s="285"/>
      <c r="H445" s="373">
        <f>H446</f>
        <v>2088.2999999999997</v>
      </c>
      <c r="I445" s="381">
        <f>I446</f>
        <v>0</v>
      </c>
    </row>
    <row r="446" spans="1:9" ht="15.75">
      <c r="A446" s="25" t="s">
        <v>24</v>
      </c>
      <c r="B446" s="43" t="s">
        <v>88</v>
      </c>
      <c r="C446" s="18" t="s">
        <v>200</v>
      </c>
      <c r="D446" s="18" t="s">
        <v>186</v>
      </c>
      <c r="E446" s="280" t="s">
        <v>25</v>
      </c>
      <c r="F446" s="30"/>
      <c r="G446" s="286"/>
      <c r="H446" s="302">
        <f>H447</f>
        <v>2088.2999999999997</v>
      </c>
      <c r="I446" s="38"/>
    </row>
    <row r="447" spans="1:9" ht="15.75">
      <c r="A447" s="47" t="s">
        <v>201</v>
      </c>
      <c r="B447" s="43" t="s">
        <v>88</v>
      </c>
      <c r="C447" s="18" t="s">
        <v>200</v>
      </c>
      <c r="D447" s="18" t="s">
        <v>186</v>
      </c>
      <c r="E447" s="280" t="s">
        <v>202</v>
      </c>
      <c r="F447" s="30"/>
      <c r="G447" s="286"/>
      <c r="H447" s="302">
        <f>H448</f>
        <v>2088.2999999999997</v>
      </c>
      <c r="I447" s="38"/>
    </row>
    <row r="448" spans="1:9" ht="19.5" customHeight="1">
      <c r="A448" s="70" t="s">
        <v>146</v>
      </c>
      <c r="B448" s="43" t="s">
        <v>88</v>
      </c>
      <c r="C448" s="18" t="s">
        <v>200</v>
      </c>
      <c r="D448" s="18" t="s">
        <v>186</v>
      </c>
      <c r="E448" s="280" t="s">
        <v>202</v>
      </c>
      <c r="F448" s="30"/>
      <c r="G448" s="286" t="s">
        <v>278</v>
      </c>
      <c r="H448" s="302">
        <f>1842.1-662+800+108.2</f>
        <v>2088.2999999999997</v>
      </c>
      <c r="I448" s="38"/>
    </row>
    <row r="449" spans="1:9" ht="15.75">
      <c r="A449" s="113" t="s">
        <v>3</v>
      </c>
      <c r="B449" s="108" t="s">
        <v>88</v>
      </c>
      <c r="C449" s="105" t="s">
        <v>200</v>
      </c>
      <c r="D449" s="114" t="s">
        <v>187</v>
      </c>
      <c r="E449" s="30"/>
      <c r="F449" s="30"/>
      <c r="G449" s="286"/>
      <c r="H449" s="302">
        <f>H450</f>
        <v>200</v>
      </c>
      <c r="I449" s="38"/>
    </row>
    <row r="450" spans="1:9" ht="15.75">
      <c r="A450" s="25" t="s">
        <v>54</v>
      </c>
      <c r="B450" s="43" t="s">
        <v>88</v>
      </c>
      <c r="C450" s="18" t="s">
        <v>200</v>
      </c>
      <c r="D450" s="30" t="s">
        <v>187</v>
      </c>
      <c r="E450" s="18" t="s">
        <v>75</v>
      </c>
      <c r="F450" s="30"/>
      <c r="G450" s="286"/>
      <c r="H450" s="302">
        <f>H451</f>
        <v>200</v>
      </c>
      <c r="I450" s="38"/>
    </row>
    <row r="451" spans="1:9" ht="15.75">
      <c r="A451" s="25" t="s">
        <v>291</v>
      </c>
      <c r="B451" s="43" t="s">
        <v>88</v>
      </c>
      <c r="C451" s="18" t="s">
        <v>200</v>
      </c>
      <c r="D451" s="30" t="s">
        <v>187</v>
      </c>
      <c r="E451" s="18" t="s">
        <v>292</v>
      </c>
      <c r="F451" s="30"/>
      <c r="G451" s="286"/>
      <c r="H451" s="302">
        <f>H452</f>
        <v>200</v>
      </c>
      <c r="I451" s="38"/>
    </row>
    <row r="452" spans="1:9" ht="15.75">
      <c r="A452" s="25" t="s">
        <v>372</v>
      </c>
      <c r="B452" s="43" t="s">
        <v>88</v>
      </c>
      <c r="C452" s="18" t="s">
        <v>200</v>
      </c>
      <c r="D452" s="30" t="s">
        <v>187</v>
      </c>
      <c r="E452" s="18" t="s">
        <v>373</v>
      </c>
      <c r="F452" s="30"/>
      <c r="G452" s="286"/>
      <c r="H452" s="302">
        <f>H453</f>
        <v>200</v>
      </c>
      <c r="I452" s="38"/>
    </row>
    <row r="453" spans="1:9" ht="15.75">
      <c r="A453" s="25" t="s">
        <v>146</v>
      </c>
      <c r="B453" s="43" t="s">
        <v>88</v>
      </c>
      <c r="C453" s="18" t="s">
        <v>200</v>
      </c>
      <c r="D453" s="30" t="s">
        <v>187</v>
      </c>
      <c r="E453" s="18" t="s">
        <v>373</v>
      </c>
      <c r="F453" s="30"/>
      <c r="G453" s="286" t="s">
        <v>278</v>
      </c>
      <c r="H453" s="302">
        <v>200</v>
      </c>
      <c r="I453" s="38"/>
    </row>
    <row r="454" spans="1:9" ht="15.75">
      <c r="A454" s="25" t="s">
        <v>5</v>
      </c>
      <c r="B454" s="43" t="s">
        <v>88</v>
      </c>
      <c r="C454" s="18" t="s">
        <v>193</v>
      </c>
      <c r="D454" s="18" t="s">
        <v>126</v>
      </c>
      <c r="E454" s="7"/>
      <c r="F454" s="11"/>
      <c r="G454" s="286"/>
      <c r="H454" s="302">
        <f>H455</f>
        <v>10076</v>
      </c>
      <c r="I454" s="38">
        <f>I455</f>
        <v>5172</v>
      </c>
    </row>
    <row r="455" spans="1:9" ht="15.75">
      <c r="A455" s="25" t="s">
        <v>96</v>
      </c>
      <c r="B455" s="43" t="s">
        <v>88</v>
      </c>
      <c r="C455" s="18" t="s">
        <v>193</v>
      </c>
      <c r="D455" s="18" t="s">
        <v>191</v>
      </c>
      <c r="E455" s="7"/>
      <c r="F455" s="11"/>
      <c r="G455" s="286"/>
      <c r="H455" s="374">
        <f>H458+H456</f>
        <v>10076</v>
      </c>
      <c r="I455" s="377">
        <f>I458</f>
        <v>5172</v>
      </c>
    </row>
    <row r="456" spans="1:9" ht="51.75">
      <c r="A456" s="47" t="s">
        <v>424</v>
      </c>
      <c r="B456" s="43" t="s">
        <v>88</v>
      </c>
      <c r="C456" s="18" t="s">
        <v>193</v>
      </c>
      <c r="D456" s="18" t="s">
        <v>191</v>
      </c>
      <c r="E456" s="7" t="s">
        <v>425</v>
      </c>
      <c r="F456" s="11"/>
      <c r="G456" s="87"/>
      <c r="H456" s="309">
        <f>H457</f>
        <v>4904</v>
      </c>
      <c r="I456" s="377"/>
    </row>
    <row r="457" spans="1:9" ht="15.75">
      <c r="A457" s="25" t="s">
        <v>260</v>
      </c>
      <c r="B457" s="43" t="s">
        <v>88</v>
      </c>
      <c r="C457" s="18" t="s">
        <v>193</v>
      </c>
      <c r="D457" s="18" t="s">
        <v>191</v>
      </c>
      <c r="E457" s="7" t="s">
        <v>425</v>
      </c>
      <c r="F457" s="11" t="s">
        <v>51</v>
      </c>
      <c r="G457" s="87" t="s">
        <v>51</v>
      </c>
      <c r="H457" s="309">
        <v>4904</v>
      </c>
      <c r="I457" s="377"/>
    </row>
    <row r="458" spans="1:9" ht="39">
      <c r="A458" s="47" t="s">
        <v>244</v>
      </c>
      <c r="B458" s="43" t="s">
        <v>88</v>
      </c>
      <c r="C458" s="18" t="s">
        <v>193</v>
      </c>
      <c r="D458" s="18" t="s">
        <v>191</v>
      </c>
      <c r="E458" s="7" t="s">
        <v>245</v>
      </c>
      <c r="F458" s="11"/>
      <c r="G458" s="286"/>
      <c r="H458" s="302">
        <f>H459</f>
        <v>5172</v>
      </c>
      <c r="I458" s="38">
        <f>I459</f>
        <v>5172</v>
      </c>
    </row>
    <row r="459" spans="1:9" ht="16.5" thickBot="1">
      <c r="A459" s="25" t="s">
        <v>260</v>
      </c>
      <c r="B459" s="43" t="s">
        <v>88</v>
      </c>
      <c r="C459" s="298" t="s">
        <v>193</v>
      </c>
      <c r="D459" s="18" t="s">
        <v>191</v>
      </c>
      <c r="E459" s="7" t="s">
        <v>245</v>
      </c>
      <c r="F459" s="11" t="s">
        <v>51</v>
      </c>
      <c r="G459" s="291" t="s">
        <v>51</v>
      </c>
      <c r="H459" s="302">
        <v>5172</v>
      </c>
      <c r="I459" s="307">
        <v>5172</v>
      </c>
    </row>
    <row r="460" spans="1:9" ht="16.5" thickBot="1">
      <c r="A460" s="140" t="s">
        <v>283</v>
      </c>
      <c r="B460" s="227" t="s">
        <v>284</v>
      </c>
      <c r="C460" s="227"/>
      <c r="D460" s="19"/>
      <c r="E460" s="296"/>
      <c r="F460" s="24"/>
      <c r="G460" s="233"/>
      <c r="H460" s="39">
        <f aca="true" t="shared" si="22" ref="H460:I462">H461</f>
        <v>20715.4</v>
      </c>
      <c r="I460" s="236">
        <f t="shared" si="22"/>
        <v>3346</v>
      </c>
    </row>
    <row r="461" spans="1:9" ht="15.75">
      <c r="A461" s="113" t="s">
        <v>115</v>
      </c>
      <c r="B461" s="107" t="s">
        <v>284</v>
      </c>
      <c r="C461" s="17" t="s">
        <v>191</v>
      </c>
      <c r="D461" s="230"/>
      <c r="E461" s="137"/>
      <c r="F461" s="138"/>
      <c r="G461" s="139"/>
      <c r="H461" s="37">
        <f>H462</f>
        <v>20715.4</v>
      </c>
      <c r="I461" s="37">
        <f>I462</f>
        <v>3346</v>
      </c>
    </row>
    <row r="462" spans="1:9" ht="15.75">
      <c r="A462" s="113" t="s">
        <v>20</v>
      </c>
      <c r="B462" s="107" t="s">
        <v>284</v>
      </c>
      <c r="C462" s="17" t="s">
        <v>191</v>
      </c>
      <c r="D462" s="32" t="s">
        <v>187</v>
      </c>
      <c r="E462" s="17"/>
      <c r="F462" s="32"/>
      <c r="G462" s="125"/>
      <c r="H462" s="38">
        <f t="shared" si="22"/>
        <v>20715.4</v>
      </c>
      <c r="I462" s="49">
        <f t="shared" si="22"/>
        <v>3346</v>
      </c>
    </row>
    <row r="463" spans="1:9" ht="18.75" customHeight="1">
      <c r="A463" s="25" t="s">
        <v>85</v>
      </c>
      <c r="B463" s="42" t="s">
        <v>285</v>
      </c>
      <c r="C463" s="22" t="s">
        <v>191</v>
      </c>
      <c r="D463" s="30" t="s">
        <v>187</v>
      </c>
      <c r="E463" s="18" t="s">
        <v>52</v>
      </c>
      <c r="F463" s="30"/>
      <c r="G463" s="87"/>
      <c r="H463" s="38">
        <f>H464+H466+H468+H473+H476</f>
        <v>20715.4</v>
      </c>
      <c r="I463" s="49">
        <f>I464+I466+I468+I471+I473+I476</f>
        <v>3346</v>
      </c>
    </row>
    <row r="464" spans="1:9" ht="51.75">
      <c r="A464" s="47" t="s">
        <v>153</v>
      </c>
      <c r="B464" s="42" t="s">
        <v>284</v>
      </c>
      <c r="C464" s="22" t="s">
        <v>191</v>
      </c>
      <c r="D464" s="30" t="s">
        <v>187</v>
      </c>
      <c r="E464" s="18" t="s">
        <v>152</v>
      </c>
      <c r="F464" s="30"/>
      <c r="G464" s="57"/>
      <c r="H464" s="38">
        <f>H465</f>
        <v>3197.4</v>
      </c>
      <c r="I464" s="49">
        <f>I465</f>
        <v>2776</v>
      </c>
    </row>
    <row r="465" spans="1:9" s="23" customFormat="1" ht="26.25">
      <c r="A465" s="47" t="s">
        <v>154</v>
      </c>
      <c r="B465" s="42" t="s">
        <v>284</v>
      </c>
      <c r="C465" s="22" t="s">
        <v>191</v>
      </c>
      <c r="D465" s="30" t="s">
        <v>187</v>
      </c>
      <c r="E465" s="18" t="s">
        <v>152</v>
      </c>
      <c r="F465" s="30"/>
      <c r="G465" s="51" t="s">
        <v>129</v>
      </c>
      <c r="H465" s="38">
        <f>2776+421.4</f>
        <v>3197.4</v>
      </c>
      <c r="I465" s="49">
        <v>2776</v>
      </c>
    </row>
    <row r="466" spans="1:9" ht="15.75">
      <c r="A466" s="25" t="s">
        <v>155</v>
      </c>
      <c r="B466" s="42" t="s">
        <v>284</v>
      </c>
      <c r="C466" s="22" t="s">
        <v>191</v>
      </c>
      <c r="D466" s="30" t="s">
        <v>187</v>
      </c>
      <c r="E466" s="18" t="s">
        <v>156</v>
      </c>
      <c r="F466" s="7"/>
      <c r="G466" s="57"/>
      <c r="H466" s="38">
        <f>H467</f>
        <v>11427.6</v>
      </c>
      <c r="I466" s="38">
        <f>I467</f>
        <v>0</v>
      </c>
    </row>
    <row r="467" spans="1:9" ht="26.25">
      <c r="A467" s="47" t="s">
        <v>154</v>
      </c>
      <c r="B467" s="42" t="s">
        <v>284</v>
      </c>
      <c r="C467" s="22" t="s">
        <v>191</v>
      </c>
      <c r="D467" s="30" t="s">
        <v>187</v>
      </c>
      <c r="E467" s="18" t="s">
        <v>156</v>
      </c>
      <c r="F467" s="7"/>
      <c r="G467" s="51" t="s">
        <v>129</v>
      </c>
      <c r="H467" s="38">
        <v>11427.6</v>
      </c>
      <c r="I467" s="49"/>
    </row>
    <row r="468" spans="1:9" ht="26.25">
      <c r="A468" s="47" t="s">
        <v>158</v>
      </c>
      <c r="B468" s="42" t="s">
        <v>284</v>
      </c>
      <c r="C468" s="22" t="s">
        <v>191</v>
      </c>
      <c r="D468" s="30" t="s">
        <v>187</v>
      </c>
      <c r="E468" s="18" t="s">
        <v>159</v>
      </c>
      <c r="F468" s="7"/>
      <c r="G468" s="57"/>
      <c r="H468" s="38">
        <f>H469+H471</f>
        <v>5735.4</v>
      </c>
      <c r="I468" s="38">
        <f>I470</f>
        <v>0</v>
      </c>
    </row>
    <row r="469" spans="1:9" ht="15.75">
      <c r="A469" s="47" t="s">
        <v>160</v>
      </c>
      <c r="B469" s="42" t="s">
        <v>284</v>
      </c>
      <c r="C469" s="22" t="s">
        <v>191</v>
      </c>
      <c r="D469" s="30" t="s">
        <v>187</v>
      </c>
      <c r="E469" s="18" t="s">
        <v>161</v>
      </c>
      <c r="F469" s="7"/>
      <c r="G469" s="57"/>
      <c r="H469" s="38">
        <f>H470</f>
        <v>628</v>
      </c>
      <c r="I469" s="49"/>
    </row>
    <row r="470" spans="1:9" ht="26.25">
      <c r="A470" s="47" t="s">
        <v>154</v>
      </c>
      <c r="B470" s="42" t="s">
        <v>284</v>
      </c>
      <c r="C470" s="22" t="s">
        <v>191</v>
      </c>
      <c r="D470" s="30" t="s">
        <v>187</v>
      </c>
      <c r="E470" s="18" t="s">
        <v>161</v>
      </c>
      <c r="F470" s="7"/>
      <c r="G470" s="51" t="s">
        <v>129</v>
      </c>
      <c r="H470" s="38">
        <v>628</v>
      </c>
      <c r="I470" s="49"/>
    </row>
    <row r="471" spans="1:9" ht="26.25">
      <c r="A471" s="47" t="s">
        <v>163</v>
      </c>
      <c r="B471" s="42" t="s">
        <v>284</v>
      </c>
      <c r="C471" s="18" t="s">
        <v>191</v>
      </c>
      <c r="D471" s="30" t="s">
        <v>187</v>
      </c>
      <c r="E471" s="18" t="s">
        <v>162</v>
      </c>
      <c r="F471" s="7"/>
      <c r="G471" s="57"/>
      <c r="H471" s="38">
        <f>H472</f>
        <v>5107.4</v>
      </c>
      <c r="I471" s="49">
        <f>I472</f>
        <v>570</v>
      </c>
    </row>
    <row r="472" spans="1:9" ht="26.25">
      <c r="A472" s="47" t="s">
        <v>154</v>
      </c>
      <c r="B472" s="42" t="s">
        <v>284</v>
      </c>
      <c r="C472" s="18" t="s">
        <v>191</v>
      </c>
      <c r="D472" s="30" t="s">
        <v>187</v>
      </c>
      <c r="E472" s="18" t="s">
        <v>162</v>
      </c>
      <c r="F472" s="7"/>
      <c r="G472" s="51" t="s">
        <v>129</v>
      </c>
      <c r="H472" s="38">
        <v>5107.4</v>
      </c>
      <c r="I472" s="49">
        <v>570</v>
      </c>
    </row>
    <row r="473" spans="1:9" ht="15.75">
      <c r="A473" s="25" t="s">
        <v>53</v>
      </c>
      <c r="B473" s="42" t="s">
        <v>284</v>
      </c>
      <c r="C473" s="18" t="s">
        <v>191</v>
      </c>
      <c r="D473" s="30" t="s">
        <v>187</v>
      </c>
      <c r="E473" s="18" t="s">
        <v>164</v>
      </c>
      <c r="F473" s="7"/>
      <c r="G473" s="57"/>
      <c r="H473" s="38">
        <f>H474</f>
        <v>250</v>
      </c>
      <c r="I473" s="49">
        <f>I474</f>
        <v>0</v>
      </c>
    </row>
    <row r="474" spans="1:9" ht="15.75">
      <c r="A474" s="25" t="s">
        <v>165</v>
      </c>
      <c r="B474" s="42" t="s">
        <v>284</v>
      </c>
      <c r="C474" s="18" t="s">
        <v>191</v>
      </c>
      <c r="D474" s="30" t="s">
        <v>187</v>
      </c>
      <c r="E474" s="18" t="s">
        <v>166</v>
      </c>
      <c r="F474" s="7"/>
      <c r="G474" s="57"/>
      <c r="H474" s="38">
        <f>H475</f>
        <v>250</v>
      </c>
      <c r="I474" s="49">
        <f>I475</f>
        <v>0</v>
      </c>
    </row>
    <row r="475" spans="1:9" ht="26.25">
      <c r="A475" s="47" t="s">
        <v>154</v>
      </c>
      <c r="B475" s="42" t="s">
        <v>284</v>
      </c>
      <c r="C475" s="18" t="s">
        <v>191</v>
      </c>
      <c r="D475" s="30" t="s">
        <v>187</v>
      </c>
      <c r="E475" s="18" t="s">
        <v>166</v>
      </c>
      <c r="F475" s="7"/>
      <c r="G475" s="51" t="s">
        <v>129</v>
      </c>
      <c r="H475" s="38">
        <v>250</v>
      </c>
      <c r="I475" s="49"/>
    </row>
    <row r="476" spans="1:9" ht="26.25">
      <c r="A476" s="47" t="s">
        <v>106</v>
      </c>
      <c r="B476" s="43" t="s">
        <v>284</v>
      </c>
      <c r="C476" s="18" t="s">
        <v>191</v>
      </c>
      <c r="D476" s="30" t="s">
        <v>187</v>
      </c>
      <c r="E476" s="18" t="s">
        <v>167</v>
      </c>
      <c r="F476" s="7"/>
      <c r="G476" s="57"/>
      <c r="H476" s="38">
        <f>H477</f>
        <v>105</v>
      </c>
      <c r="I476" s="49">
        <f>I477</f>
        <v>0</v>
      </c>
    </row>
    <row r="477" spans="1:9" ht="16.5" thickBot="1">
      <c r="A477" s="26" t="s">
        <v>168</v>
      </c>
      <c r="B477" s="44" t="s">
        <v>284</v>
      </c>
      <c r="C477" s="20" t="s">
        <v>191</v>
      </c>
      <c r="D477" s="31" t="s">
        <v>187</v>
      </c>
      <c r="E477" s="20" t="s">
        <v>167</v>
      </c>
      <c r="F477" s="5"/>
      <c r="G477" s="52" t="s">
        <v>129</v>
      </c>
      <c r="H477" s="36">
        <v>105</v>
      </c>
      <c r="I477" s="60"/>
    </row>
    <row r="478" spans="1:9" s="23" customFormat="1" ht="32.25" thickBot="1">
      <c r="A478" s="328" t="s">
        <v>384</v>
      </c>
      <c r="B478" s="21" t="s">
        <v>385</v>
      </c>
      <c r="C478" s="21"/>
      <c r="D478" s="12"/>
      <c r="E478" s="21"/>
      <c r="F478" s="325"/>
      <c r="G478" s="55"/>
      <c r="H478" s="327">
        <f aca="true" t="shared" si="23" ref="H478:I480">H479</f>
        <v>1607</v>
      </c>
      <c r="I478" s="327">
        <f t="shared" si="23"/>
        <v>0</v>
      </c>
    </row>
    <row r="479" spans="1:9" s="23" customFormat="1" ht="15.75">
      <c r="A479" s="113" t="s">
        <v>17</v>
      </c>
      <c r="B479" s="17" t="s">
        <v>385</v>
      </c>
      <c r="C479" s="17" t="s">
        <v>186</v>
      </c>
      <c r="D479" s="32" t="s">
        <v>126</v>
      </c>
      <c r="E479" s="17"/>
      <c r="F479" s="101"/>
      <c r="G479" s="92"/>
      <c r="H479" s="90">
        <f t="shared" si="23"/>
        <v>1607</v>
      </c>
      <c r="I479" s="90">
        <f t="shared" si="23"/>
        <v>0</v>
      </c>
    </row>
    <row r="480" spans="1:9" s="48" customFormat="1" ht="15.75">
      <c r="A480" s="27" t="s">
        <v>314</v>
      </c>
      <c r="B480" s="18" t="s">
        <v>385</v>
      </c>
      <c r="C480" s="18" t="s">
        <v>186</v>
      </c>
      <c r="D480" s="30" t="s">
        <v>194</v>
      </c>
      <c r="E480" s="18"/>
      <c r="F480" s="30"/>
      <c r="G480" s="112"/>
      <c r="H480" s="38">
        <f t="shared" si="23"/>
        <v>1607</v>
      </c>
      <c r="I480" s="38">
        <f t="shared" si="23"/>
        <v>0</v>
      </c>
    </row>
    <row r="481" spans="1:9" ht="15.75">
      <c r="A481" s="70" t="s">
        <v>315</v>
      </c>
      <c r="B481" s="73" t="s">
        <v>385</v>
      </c>
      <c r="C481" s="73" t="s">
        <v>186</v>
      </c>
      <c r="D481" s="74" t="s">
        <v>194</v>
      </c>
      <c r="E481" s="73" t="s">
        <v>316</v>
      </c>
      <c r="F481" s="74"/>
      <c r="G481" s="142"/>
      <c r="H481" s="38">
        <f>H482+H484</f>
        <v>1607</v>
      </c>
      <c r="I481" s="38">
        <f>I482+I484</f>
        <v>0</v>
      </c>
    </row>
    <row r="482" spans="1:9" ht="26.25">
      <c r="A482" s="69" t="s">
        <v>317</v>
      </c>
      <c r="B482" s="73" t="s">
        <v>385</v>
      </c>
      <c r="C482" s="73" t="s">
        <v>186</v>
      </c>
      <c r="D482" s="74" t="s">
        <v>194</v>
      </c>
      <c r="E482" s="73" t="s">
        <v>318</v>
      </c>
      <c r="F482" s="74"/>
      <c r="G482" s="142"/>
      <c r="H482" s="38">
        <f>H483</f>
        <v>803.5</v>
      </c>
      <c r="I482" s="38">
        <f>I483</f>
        <v>0</v>
      </c>
    </row>
    <row r="483" spans="1:9" ht="15.75">
      <c r="A483" s="70" t="s">
        <v>146</v>
      </c>
      <c r="B483" s="73" t="s">
        <v>385</v>
      </c>
      <c r="C483" s="73" t="s">
        <v>186</v>
      </c>
      <c r="D483" s="74" t="s">
        <v>194</v>
      </c>
      <c r="E483" s="73" t="s">
        <v>318</v>
      </c>
      <c r="F483" s="74"/>
      <c r="G483" s="142" t="s">
        <v>278</v>
      </c>
      <c r="H483" s="38">
        <f>2203.5-1400</f>
        <v>803.5</v>
      </c>
      <c r="I483" s="38"/>
    </row>
    <row r="484" spans="1:9" ht="15.75">
      <c r="A484" s="69" t="s">
        <v>319</v>
      </c>
      <c r="B484" s="73" t="s">
        <v>385</v>
      </c>
      <c r="C484" s="73" t="s">
        <v>186</v>
      </c>
      <c r="D484" s="74" t="s">
        <v>194</v>
      </c>
      <c r="E484" s="73" t="s">
        <v>320</v>
      </c>
      <c r="F484" s="74"/>
      <c r="G484" s="142"/>
      <c r="H484" s="38">
        <f>H485</f>
        <v>803.5</v>
      </c>
      <c r="I484" s="38">
        <f>I485</f>
        <v>0</v>
      </c>
    </row>
    <row r="485" spans="1:9" ht="16.5" thickBot="1">
      <c r="A485" s="320" t="s">
        <v>146</v>
      </c>
      <c r="B485" s="326" t="s">
        <v>385</v>
      </c>
      <c r="C485" s="326" t="s">
        <v>186</v>
      </c>
      <c r="D485" s="321" t="s">
        <v>194</v>
      </c>
      <c r="E485" s="326" t="s">
        <v>320</v>
      </c>
      <c r="F485" s="321"/>
      <c r="G485" s="322" t="s">
        <v>278</v>
      </c>
      <c r="H485" s="307">
        <f>2203.5-1400</f>
        <v>803.5</v>
      </c>
      <c r="I485" s="307"/>
    </row>
    <row r="486" spans="1:9" ht="16.5" thickBot="1">
      <c r="A486" s="323" t="s">
        <v>73</v>
      </c>
      <c r="B486" s="227" t="s">
        <v>49</v>
      </c>
      <c r="C486" s="19" t="s">
        <v>48</v>
      </c>
      <c r="D486" s="229" t="s">
        <v>48</v>
      </c>
      <c r="E486" s="19" t="s">
        <v>47</v>
      </c>
      <c r="F486" s="24"/>
      <c r="G486" s="324" t="s">
        <v>49</v>
      </c>
      <c r="H486" s="39">
        <f>H11+H248+H305+H340+H379+H404+H435+H460+H478</f>
        <v>2209243.1</v>
      </c>
      <c r="I486" s="39">
        <f>I11+I248+I305+I340+I379+I404+I435+I460+I478</f>
        <v>341790</v>
      </c>
    </row>
    <row r="491" ht="15" customHeight="1"/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2009-03-20T09:17:06Z</cp:lastPrinted>
  <dcterms:created xsi:type="dcterms:W3CDTF">2002-11-11T07:39:40Z</dcterms:created>
  <dcterms:modified xsi:type="dcterms:W3CDTF">2009-03-20T11:23:28Z</dcterms:modified>
  <cp:category/>
  <cp:version/>
  <cp:contentType/>
  <cp:contentStatus/>
</cp:coreProperties>
</file>