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135" windowWidth="14595" windowHeight="13050" activeTab="1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<sst xmlns="http://schemas.openxmlformats.org/spreadsheetml/2006/main" count="4712" uniqueCount="477">
  <si>
    <t>Наименование</t>
  </si>
  <si>
    <t>027</t>
  </si>
  <si>
    <t>029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</si>
  <si>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</si>
  <si>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</si>
  <si>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</si>
  <si>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</si>
  <si>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</si>
  <si>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</si>
  <si>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</si>
  <si>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</si>
  <si>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</si>
  <si>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</si>
  <si>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</si>
  <si>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</si>
  <si>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</si>
  <si>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Жилищно-коммунальное хозяйство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</si>
  <si>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</si>
  <si>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</si>
  <si>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</si>
  <si>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</si>
  <si>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</si>
  <si>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</si>
  <si>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</si>
  <si>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</si>
  <si>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</si>
  <si>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</si>
  <si>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</si>
  <si>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</si>
  <si>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</si>
  <si>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</si>
  <si>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</si>
  <si>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</si>
  <si>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</si>
  <si>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</si>
  <si>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</si>
  <si>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</si>
  <si>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</si>
  <si>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</si>
  <si>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</si>
  <si>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</si>
  <si>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</si>
  <si>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</si>
  <si>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</si>
  <si>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</si>
  <si>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</si>
  <si>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</si>
  <si>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</si>
  <si>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</si>
  <si>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</si>
  <si>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</si>
  <si>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</si>
  <si>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</si>
  <si>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</si>
  <si>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</si>
  <si>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</si>
  <si>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</si>
  <si>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</si>
  <si>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</si>
  <si>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</si>
  <si>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</si>
  <si>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</si>
  <si>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</si>
  <si>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</si>
  <si>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</si>
  <si>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</si>
  <si>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</si>
  <si>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</si>
  <si>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</si>
  <si>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</si>
  <si>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</si>
  <si>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</si>
  <si>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</si>
  <si>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</si>
  <si>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</si>
  <si>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</si>
  <si>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</si>
  <si>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Дворцы и  дома культуры, другие учреждения культуры и средств массовой информации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</si>
  <si>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</si>
  <si>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</si>
  <si>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</si>
  <si>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013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</si>
  <si>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</si>
  <si>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</si>
  <si>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</si>
  <si>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</si>
  <si>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</si>
  <si>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</si>
  <si>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</si>
  <si>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</si>
  <si>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</si>
  <si>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</si>
  <si>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</si>
  <si>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</si>
  <si>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</si>
  <si>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</si>
  <si>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</si>
  <si>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</si>
  <si>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</si>
  <si>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</si>
  <si>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</si>
  <si>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</si>
  <si>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</si>
  <si>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Выполнение функций бюджетными учреждениями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</si>
  <si>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</si>
  <si>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</si>
  <si>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</si>
  <si>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</si>
  <si>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</si>
  <si>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</si>
  <si>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</si>
  <si>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</si>
  <si>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</si>
  <si>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</si>
  <si>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</si>
  <si>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</si>
  <si>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</si>
  <si>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</si>
  <si>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</si>
  <si>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</si>
  <si>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</si>
  <si>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</si>
  <si>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</si>
  <si>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</si>
  <si>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</si>
  <si>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</si>
  <si>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315 02 00</t>
  </si>
  <si>
    <t>05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</si>
  <si>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</si>
  <si>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</si>
  <si>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</si>
  <si>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</si>
  <si>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</si>
  <si>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</si>
  <si>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</si>
  <si>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</si>
  <si>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</si>
  <si>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</si>
  <si>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</si>
  <si>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</si>
  <si>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</si>
  <si>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</si>
  <si>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</si>
  <si>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</si>
  <si>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</si>
  <si>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</si>
  <si>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</si>
  <si>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</si>
  <si>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</si>
  <si>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505 48 00</t>
  </si>
  <si>
    <t>795 03 00</t>
  </si>
  <si>
    <t>795 06 00</t>
  </si>
  <si>
    <t>Выполнение функций  органами местного самоуправления</t>
  </si>
  <si>
    <t>795 07 00</t>
  </si>
  <si>
    <t>(тыс. руб.)</t>
  </si>
  <si>
    <t>Субсидии некоммерческим организациям</t>
  </si>
  <si>
    <t>019</t>
  </si>
  <si>
    <t>002 00 00</t>
  </si>
  <si>
    <t>500</t>
  </si>
  <si>
    <t>002 04 00</t>
  </si>
  <si>
    <t>520 18 00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</si>
  <si>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</si>
  <si>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</si>
  <si>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</si>
  <si>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</si>
  <si>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</si>
  <si>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</si>
  <si>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Содержание автомобильных дорог  общего пользования</t>
  </si>
  <si>
    <t>315 02 03</t>
  </si>
  <si>
    <t>Охрана семьи и детства</t>
  </si>
  <si>
    <t>Родильные дома</t>
  </si>
  <si>
    <t>476 00 00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</si>
  <si>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</si>
  <si>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</si>
  <si>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</si>
  <si>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</si>
  <si>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</si>
  <si>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</si>
  <si>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</si>
  <si>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</si>
  <si>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</si>
  <si>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Мероприятия по землеустройству и землепользованию</t>
  </si>
  <si>
    <t>340 03 00</t>
  </si>
  <si>
    <t>Обеспечение деятельности финансовых, налоговых и таможенных органов и органов финансового(финансово-бюджетного) надзора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</si>
  <si>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</si>
  <si>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</si>
  <si>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</si>
  <si>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Ежемесячное денежное вознаграждение за классное руководство</t>
  </si>
  <si>
    <t>520 09 00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</si>
  <si>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</si>
  <si>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</si>
  <si>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</si>
  <si>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Подраздел</t>
  </si>
  <si>
    <t>Целевая статья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</si>
  <si>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</si>
  <si>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</si>
  <si>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</si>
  <si>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</si>
  <si>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</si>
  <si>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</si>
  <si>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</si>
  <si>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</si>
  <si>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</si>
  <si>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</si>
  <si>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905</t>
  </si>
  <si>
    <t>906</t>
  </si>
  <si>
    <t>907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</si>
  <si>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</si>
  <si>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</si>
  <si>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</si>
  <si>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795 02 00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</si>
  <si>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</si>
  <si>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</si>
  <si>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795 10 00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</si>
  <si>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</si>
  <si>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</si>
  <si>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</si>
  <si>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795 05 00</t>
  </si>
  <si>
    <t>Долгосрочная городская  целевая программа "Развитие муниципальной службы в городе Долгопрудном на период 2011-2013 годов"</t>
  </si>
  <si>
    <t xml:space="preserve"> и видам расходов  бюджета</t>
  </si>
  <si>
    <t xml:space="preserve"> Комитет по управлению имуществом                  г. Долгопрудный</t>
  </si>
  <si>
    <t>092 99 00</t>
  </si>
  <si>
    <t>Комплектование книжных фондов библиотек муниципальных образований</t>
  </si>
  <si>
    <t>Администрация города Долгопрудного</t>
  </si>
  <si>
    <t>440 02 00</t>
  </si>
  <si>
    <t>Комплектование книжных фондов библиотек городских округов</t>
  </si>
  <si>
    <t>Культура и кинематография</t>
  </si>
  <si>
    <t>Коммунальное хозяйство</t>
  </si>
  <si>
    <t>Другие вопросы в области культуры</t>
  </si>
  <si>
    <t>522 00 00</t>
  </si>
  <si>
    <t>Региональные целевые программы</t>
  </si>
  <si>
    <t xml:space="preserve">Руководство и управление в сфере установленных функций </t>
  </si>
  <si>
    <t>001 00 00</t>
  </si>
  <si>
    <t>Долгосрочная городская  целевая программа "Развитие муниципальной службы в городе Долгопрудном на период 2011-2013 гг."</t>
  </si>
  <si>
    <t>Учреждения культуры и мероприятия в сфере культуры и кинематографии</t>
  </si>
  <si>
    <t>Расходы бюджета городского округа Долгопрудный  на 2012  г. по разделам, подразделам, целевым статьям</t>
  </si>
  <si>
    <t>Ведомственная структура расходов  бюджета городского округа Долгопрудный  на   2012 год</t>
  </si>
  <si>
    <t>001 36 00</t>
  </si>
  <si>
    <t>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</si>
  <si>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</si>
  <si>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002 95 00</t>
  </si>
  <si>
    <t>420 95 00</t>
  </si>
  <si>
    <t>421 95 00</t>
  </si>
  <si>
    <t>423 95 00</t>
  </si>
  <si>
    <t>452 95 00</t>
  </si>
  <si>
    <t>482 95 00</t>
  </si>
  <si>
    <t>442 95 00</t>
  </si>
  <si>
    <t>440 95 00</t>
  </si>
  <si>
    <t>441 95 00</t>
  </si>
  <si>
    <t>443 95 00</t>
  </si>
  <si>
    <t>431 95 00</t>
  </si>
  <si>
    <t>Долгосрочная целевая программа г.Долгопрудного "Дополнительные меры социальной поддержки отдельных категорий граждан г.Долгопрудного на 2012-2015 г.г."</t>
  </si>
  <si>
    <r>
      <t xml:space="preserve"> Долгосрочная целевая программа "Муниципальная программа " Развитие физической культуры и спорта в г.Долгопрудном на 2012-2015 годы"" </t>
    </r>
    <r>
      <rPr>
        <b/>
        <sz val="11"/>
        <rFont val="Arial"/>
        <family val="2"/>
      </rPr>
  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</si>
  <si>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 xml:space="preserve"> Долгосрочная целевая программа "Муниципальная программа " Развитие физической культуры и спорта в г.Долгопрудном на 2012-2015 годы"" </t>
  </si>
  <si>
    <t>Долгосрочная целевая программа "Защита населения и территории города Долгопрудный от чрезвычайных ситуаций на 2012-2015 годы"</t>
  </si>
  <si>
    <t>Программа комплексного развития систем коммунальной инфраструктуры городского округа Долгопрудный на 2010-2015 годы</t>
  </si>
  <si>
    <t xml:space="preserve">Бюджетные инвестиции </t>
  </si>
  <si>
    <t>904</t>
  </si>
  <si>
    <t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</si>
  <si>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</si>
  <si>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795 08 00</t>
  </si>
  <si>
    <t>Долгосрочная целевая программа "Благоустройство территорий города Долгопрудного на период 2012-2014 годы"</t>
  </si>
  <si>
    <t>Долгосрочная целевая программа "Обеспечение жильем молодых семей в г.Долгопрудный на 2009-2012 годы"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</si>
  <si>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</si>
  <si>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795 11 00</t>
  </si>
  <si>
    <t>795 12 00</t>
  </si>
  <si>
    <t>795 13 00</t>
  </si>
  <si>
    <t>795 14 00</t>
  </si>
  <si>
    <t>795 15 00</t>
  </si>
  <si>
    <t>795 16 00</t>
  </si>
  <si>
    <t>795 17 00</t>
  </si>
  <si>
    <t>Долгосрочная целевая программа   "Дети Долгопрудного " на 2012-2015 годы"</t>
  </si>
  <si>
    <t>Субсидии юридическим лицам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</si>
  <si>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</si>
  <si>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795 18 00</t>
  </si>
  <si>
    <r>
      <t>Бюджетные инвестиции</t>
    </r>
    <r>
      <rPr>
        <sz val="11"/>
        <rFont val="Arial"/>
        <family val="2"/>
      </rPr>
      <t xml:space="preserve">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(ПИР и СМР)</t>
    </r>
  </si>
  <si>
    <t>Управление администрации г. Долгопрудного по работе в микрорайонах Шереметьевский, Хлебниково, Павельцево</t>
  </si>
  <si>
    <t>Финансовое управление администрации                         г.Долгопрудного</t>
  </si>
  <si>
    <t xml:space="preserve"> Представительный орган муниципального образования города Долгопрудный Московской области - Совет депутатов города Долгопрудного Московской области</t>
  </si>
  <si>
    <t>Управление культуры, физической культуры, спорта, туризма и молодежной политики администрации города Долгопрудного</t>
  </si>
  <si>
    <t xml:space="preserve">    Управление образования   Администрации г.Долгопрудного</t>
  </si>
  <si>
    <t>522 15 01</t>
  </si>
  <si>
    <t>522 15 00</t>
  </si>
  <si>
    <t>Долгосрочная целевая программа Московской области "Жилище" на 2009-2012 годы"</t>
  </si>
  <si>
    <t>Подпрограмма "Модернизация объектов коммунальной инфраструктуры"</t>
  </si>
  <si>
    <r>
      <t>Бюджетные инвестиции</t>
    </r>
    <r>
      <rPr>
        <sz val="11"/>
        <rFont val="Arial"/>
        <family val="2"/>
      </rPr>
      <t xml:space="preserve">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</t>
    </r>
  </si>
  <si>
    <t>Обеспечение мероприятий по капитальному ремонту многоквартирных домов</t>
  </si>
  <si>
    <t>098 00 00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</si>
  <si>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</si>
  <si>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</si>
  <si>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</si>
  <si>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098 01 01 </t>
  </si>
  <si>
    <t>Обеспечение мероприятий по капитальному ремонту многоквартирных домов за счет средств бюджетов</t>
  </si>
  <si>
    <t>098 02 00</t>
  </si>
  <si>
    <t>098 02 01</t>
  </si>
  <si>
    <t>522 26 01</t>
  </si>
  <si>
    <t>Долгосрочная целевая программа Московской области "Развитие дошкольного образования в Московской области в 2012-2014 годах"" на 2009-2012 годы"</t>
  </si>
  <si>
    <t>Капитальные  вложения в объекты дошкольного образования</t>
  </si>
  <si>
    <t>Капитальные  вложения в объекты общественной инфраструктуры</t>
  </si>
  <si>
    <t>522 15 07</t>
  </si>
  <si>
    <r>
      <t>Бюджетные инвестиции</t>
    </r>
    <r>
      <rPr>
        <sz val="11"/>
        <rFont val="Arial"/>
        <family val="2"/>
      </rPr>
      <t xml:space="preserve">  </t>
    </r>
  </si>
  <si>
    <r>
      <t xml:space="preserve">Бюджетные инвестиции </t>
    </r>
    <r>
      <rPr>
        <b/>
        <sz val="11"/>
        <rFont val="Arial"/>
        <family val="2"/>
      </rPr>
      <t xml:space="preserve">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</si>
  <si>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 xml:space="preserve">Муниципальная комплексная программа "Дети Долгопрудного " на 2011-2012 годы" </t>
  </si>
  <si>
    <t>350 00 00</t>
  </si>
  <si>
    <t>Поддержка жилищного хозяйства</t>
  </si>
  <si>
    <t xml:space="preserve">Мероприятия в области жилищного хозяйства </t>
  </si>
  <si>
    <t>350 03 00</t>
  </si>
  <si>
    <t>Муниципальная целевая программа в области энергосбережения и повышения энергетической эффективности в городе Долгопрудном на 2010-2020 годы</t>
  </si>
  <si>
    <t>795 19 00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</si>
  <si>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</si>
  <si>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795 20 00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</si>
  <si>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</si>
  <si>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Осуществление полномочий органов местного самоуправления</t>
  </si>
  <si>
    <t>120</t>
  </si>
  <si>
    <t>Приложение № 5</t>
  </si>
  <si>
    <t xml:space="preserve">к решению Совета депутатов </t>
  </si>
  <si>
    <t>(Приложение №5</t>
  </si>
  <si>
    <t xml:space="preserve">                       к решению Совета депутатов </t>
  </si>
  <si>
    <t xml:space="preserve">               от 23.12.2011г. №157-нр)</t>
  </si>
  <si>
    <t>Приложение № 3</t>
  </si>
  <si>
    <t>(Приложение №3</t>
  </si>
  <si>
    <t>от 23.12.2011г. №157-нр)</t>
  </si>
  <si>
    <t>436 00 00</t>
  </si>
  <si>
    <t>610</t>
  </si>
  <si>
    <t>620</t>
  </si>
  <si>
    <t>Внедрение современных образовательных технологий</t>
  </si>
  <si>
    <t>Субсидии бюджетным учреждениям</t>
  </si>
  <si>
    <t>Субсидии автономным учреждениям</t>
  </si>
  <si>
    <t>421 10 10</t>
  </si>
  <si>
    <t>200</t>
  </si>
  <si>
    <t>Закупка товаров, работ и услуг для муниципальных нужд</t>
  </si>
  <si>
    <t>421 10 13</t>
  </si>
  <si>
    <t>630</t>
  </si>
  <si>
    <t>Субсидии некоммерческим организациям (за исключением муниципальных учреждений)</t>
  </si>
  <si>
    <t>Финансирование частичной компенсации стоимости питания отдельным категориям обучающихся в школах- детских садах, школах начальных средних т средних (оказание муниципальных услуг)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</si>
  <si>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(оказание муниципальных услуг)</t>
  </si>
  <si>
    <t>421 10 19</t>
  </si>
  <si>
    <t>002 04 08</t>
  </si>
  <si>
    <t>002 04 07</t>
  </si>
  <si>
    <t xml:space="preserve">Центральный аппарат(обеспечение  полномочий в сфере образования и организации деятельности комиссий по делам несовершеннолетних и защите их прав городов и районов) </t>
  </si>
  <si>
    <t>002 04 01</t>
  </si>
  <si>
    <t>Расходы на содержание и обеспечение деятельности больниц, клиник, госпиталей, медико-санитарных частей (оказание муниципальных услуг)</t>
  </si>
  <si>
    <t>470 10 05</t>
  </si>
  <si>
    <t>Расходы на содержание и обеспечение деятельности родильных домов (оказание муниципальных услуг)</t>
  </si>
  <si>
    <t>476 10 05</t>
  </si>
  <si>
    <t>471 10 05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</si>
  <si>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</si>
  <si>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470 20 05</t>
  </si>
  <si>
    <t>470 99 99</t>
  </si>
  <si>
    <t>476 20 05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</si>
  <si>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</si>
  <si>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Расходы на содержание и обеспечение деятельности родильных домов ( содержание имущества, необходимого для оказания муниципальных услуг)</t>
  </si>
  <si>
    <t>471 20 05</t>
  </si>
  <si>
    <t>Расходы на содержание и обеспечение деятельности поликлиник, амбулаторий, диагностических центров (оказание муниципальных услуг)</t>
  </si>
  <si>
    <t>477 10 05</t>
  </si>
  <si>
    <t>Расходы на содержание и обеспечение деятельности станций скорой и неотложной помощи (оказание муниципальных услуг)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</si>
  <si>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</si>
  <si>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477 20 05</t>
  </si>
  <si>
    <t>470 10 06</t>
  </si>
  <si>
    <t>Расходы на содержание и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</t>
  </si>
  <si>
    <t>470 30 05</t>
  </si>
  <si>
    <t>Расходы на содержание и обеспечение деятельности больниц, клиник, госпиталей, медико-санитарных частей (прочие расходы)</t>
  </si>
  <si>
    <t>476 30 05</t>
  </si>
  <si>
    <t>Расходы на содержание и обеспечение деятельности родильных домов ( прочие расходы )</t>
  </si>
  <si>
    <t>471 10 04</t>
  </si>
  <si>
    <t xml:space="preserve">Расходы на обеспечение полноценным питанием беременных женщин, кормящих матерей, а также детей в возрасте до трех лет </t>
  </si>
  <si>
    <t>471 30 05</t>
  </si>
  <si>
    <t>Расходы на содержание и обеспечение деятельности поликлиник, амбулаторий, диагностических центров (прочие расходы)</t>
  </si>
  <si>
    <t>477 30 05</t>
  </si>
  <si>
    <t>Расходы на содержание и обеспечение деятельности станций скорой и неотложной помощи (прочие расходы)</t>
  </si>
  <si>
    <t>470 99 00</t>
  </si>
  <si>
    <t>452 10 02</t>
  </si>
  <si>
    <t>Оплата труда работников централизованных бухгалтерий (оказание муниципальных услуг)</t>
  </si>
  <si>
    <t>612</t>
  </si>
  <si>
    <t>Субсидии бюджетным учреждениям на иные цели</t>
  </si>
  <si>
    <t>Центральный аппарат(отделы,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муниципального образования или в структуре правомочного учреждения)</t>
  </si>
  <si>
    <t>Центральный аппарат(обеспечение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</si>
  <si>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Мобилизационная и вневойсковая подготовка</t>
  </si>
  <si>
    <t>Финансовая поддержка негосударственных школ-детских садов, школ начальных, неполных средних и средних в части расходов на оплату труда работника негосударственных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(оказание муниципальных услуг)</t>
  </si>
  <si>
    <t>Центральный аппарат(отделы,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муниципального образования или в структуре управомочного учреждения)</t>
  </si>
  <si>
    <t>421 30 10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</si>
  <si>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(прочие расходы)</t>
  </si>
  <si>
    <t xml:space="preserve">07 </t>
  </si>
  <si>
    <t>Мероприятия по проведению оздоровительной кампании детей</t>
  </si>
  <si>
    <t>522 17 00</t>
  </si>
  <si>
    <t>Долгосрочная целевая программа Московской области "Дороги Подмосковья на период 2012-2015 годов"</t>
  </si>
  <si>
    <t>432 00 04</t>
  </si>
  <si>
    <t>522 10 00</t>
  </si>
  <si>
    <t>522 10 98</t>
  </si>
  <si>
    <t xml:space="preserve">522 10 98 </t>
  </si>
  <si>
    <t>Долгосрочная целевая программа Московской области "Развитие образования в Московской области на 2009-2012 год"</t>
  </si>
  <si>
    <t>Обеспечение дополнительными местами в муниципальных дошкольных образовательных учреждениях, в том числе на проведение текущего, капитального ремонта, ремонта ограждений, приобретение оборудования, мебели, мягкого инвентаря</t>
  </si>
  <si>
    <t>Федеральные целевые программы</t>
  </si>
  <si>
    <t>Федеральная целевая программа "Жилище" на 2011-2015 годы</t>
  </si>
  <si>
    <t>100 00 00</t>
  </si>
  <si>
    <t>100 88 00</t>
  </si>
  <si>
    <t>100 88 11</t>
  </si>
  <si>
    <t xml:space="preserve"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 награжденных знаком "Жителю блокадного Ленинграда,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</si>
  <si>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505 34 00</t>
  </si>
  <si>
    <t>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</si>
  <si>
    <t>505 34 02</t>
  </si>
  <si>
    <t>522 09 14</t>
  </si>
  <si>
    <t>522 09 00</t>
  </si>
  <si>
    <t>Долгосрочная целевая программа Московской области "Предупреждение и борьба  с заболеваниями социального характера в Московской области на 2009-2012 годы"</t>
  </si>
  <si>
    <t>Подпрограмма "Модернизация здравоохранения Московской области на 2011-2012 годы</t>
  </si>
  <si>
    <t>Другие вопросы в области здравоохранения</t>
  </si>
  <si>
    <t>431 10 02</t>
  </si>
  <si>
    <t>611</t>
  </si>
  <si>
    <t>522 10 41</t>
  </si>
  <si>
    <t>Закупка учебного оборудования и мебели для муниципальных общеобразовательных учреждений - победителей областного конкурса муниципальных общеобразовательных учреждений, разрабатывающих и внедряющих инновационные образовательные программы</t>
  </si>
  <si>
    <t>522 28 00</t>
  </si>
  <si>
    <t>Долгосрочная целевая программа Московской области "Совершенствование организации питания обучающихся муниципальных общеобразовательных учреждений в Московской области на период 2012-2014 годов"</t>
  </si>
  <si>
    <t>522 28 31</t>
  </si>
  <si>
    <t>436 21 00</t>
  </si>
  <si>
    <t>Модернизация региональной системы образования</t>
  </si>
  <si>
    <r>
      <t xml:space="preserve">Бюджетные инвестиции </t>
    </r>
    <r>
      <rPr>
        <sz val="11"/>
        <rFont val="Arial"/>
        <family val="2"/>
      </rPr>
      <t>(Монтаж циркулярного трубопровода ГВС к жилым домам №№20,22,24,26,28 по ул.Первомайская, №№ 17,16,19,20,21,22 по ул.Менделеева, №№ 19,21 по Московскому шоссе г.Долгопрудного</t>
    </r>
  </si>
  <si>
    <t>Закупка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организации питания обучающихся</t>
  </si>
  <si>
    <t>Вид  расходов</t>
  </si>
  <si>
    <t>522 15 14</t>
  </si>
  <si>
    <t>522 17 83</t>
  </si>
  <si>
    <t>522 17 84</t>
  </si>
  <si>
    <t>Финансирование работ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</si>
  <si>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Финансирование работ по капитальному ремонту и ремонту автомобильных дорог общего пользования населенных пунктов</t>
  </si>
  <si>
    <t>522 32 00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</si>
  <si>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</si>
  <si>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Проведение мероприятий по комплексному развитию коммунальной инфраструктуры с целью организации теплоснабжения с долгосрочной целевой программой Московской области "Жилище" на 2009-2012 годы"</t>
  </si>
  <si>
    <t>320</t>
  </si>
  <si>
    <t>Социальные выплаты гражданам, кроме публичных нормативных социальных выплат</t>
  </si>
  <si>
    <t>810</t>
  </si>
  <si>
    <t>400</t>
  </si>
  <si>
    <t>520 10 30</t>
  </si>
  <si>
    <t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(прочие расходы)</t>
  </si>
  <si>
    <t>300</t>
  </si>
  <si>
    <t>Социальные выплаты и иные выплаты населению</t>
  </si>
  <si>
    <t>522 32 41</t>
  </si>
  <si>
    <t>436 30 03</t>
  </si>
  <si>
    <t>Внедрение современных образовательных технологий                  (прочие расходы)</t>
  </si>
  <si>
    <t>321</t>
  </si>
  <si>
    <t>Пособия и компенсации гражданам и иные социальные выплаты, кроме публичных нормативных обязательств</t>
  </si>
  <si>
    <t>Организация и осуществление мероприятий по работе с детьми и молодежью в муниципальных образованиях (оказание муниципальных услуг)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</si>
  <si>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</si>
  <si>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908</t>
  </si>
  <si>
    <t>Субсидии юридическим лицам (кроме муниципальных учреждений) и физическим лицам-производитетям товаров, работ, услуг</t>
  </si>
  <si>
    <t xml:space="preserve">Контрольно-ревизионная комиссия города Долгопрудного </t>
  </si>
  <si>
    <t>Бюджетные инвестиции (Здание дошкольного образовательного учреждения на 12 групп ул.Спортивная, северная сторона дома 7а )</t>
  </si>
  <si>
    <r>
      <t>Бюджетные инвестиции</t>
    </r>
    <r>
      <rPr>
        <sz val="11"/>
        <rFont val="Arial"/>
        <family val="2"/>
      </rPr>
      <t xml:space="preserve"> (Здание дошкольного образовательного учреждения на 12 групп ул.Спортивная, северная сторона дома 7а )</t>
    </r>
  </si>
  <si>
    <r>
      <t>Бюджетные инвестиции</t>
    </r>
    <r>
      <rPr>
        <sz val="11"/>
        <rFont val="Arial"/>
        <family val="2"/>
      </rPr>
      <t xml:space="preserve"> (Строительство детского сада на 250 мест с бассейномпо адресу МО, г.Долгопрудный микрорайон Центральный) </t>
    </r>
  </si>
  <si>
    <r>
      <t xml:space="preserve">Бюджетные инвестиции  </t>
    </r>
    <r>
      <rPr>
        <sz val="11"/>
        <rFont val="Arial"/>
        <family val="2"/>
      </rPr>
      <t>Строительство новых и реконструкция существующих линий наружного освещений</t>
    </r>
  </si>
  <si>
    <r>
      <t xml:space="preserve">Бюджетные инвестиции </t>
    </r>
    <r>
      <rPr>
        <sz val="11"/>
        <rFont val="Arial"/>
        <family val="2"/>
      </rPr>
      <t>(ПИР на реконструкцию и модернизацию котельной по ул.Заводская 2)</t>
    </r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</si>
  <si>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</si>
  <si>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</si>
  <si>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</si>
  <si>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</si>
  <si>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</si>
  <si>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</si>
  <si>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</si>
  <si>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</si>
  <si>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Обеспечение жильем отдельных категорий граждан, установленных ФЗ от 12 января 1995 года №5-ФЗ "О ветеранах" в соответствии с Указом Президента Российской Федерации от 07 мая 2008 года №714 " Об обеспечении жильем ветеранов ВОВ 1941-1945 годов"</t>
  </si>
  <si>
    <t>505 34 01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</si>
  <si>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</si>
  <si>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505 21 00</t>
  </si>
  <si>
    <t>505 21 02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</si>
  <si>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</si>
  <si>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522 15 04</t>
  </si>
  <si>
    <t>Подпрограмма "Обеспечение жильем молодых семей"</t>
  </si>
  <si>
    <t>100 88 20</t>
  </si>
  <si>
    <t>Обеспечение жильем граждан, уволенных с военной службы (службы), и приравненных к ним лиц</t>
  </si>
  <si>
    <t>Обеспечение жильем молодых семей</t>
  </si>
  <si>
    <t>Установка программного обеспечения и подключение муниципальных библиотек к информационно-телекоммуникационной сети "Интернет" (прочие расходы)</t>
  </si>
  <si>
    <t>442 30 20</t>
  </si>
  <si>
    <r>
      <t>Бюджетные инвестиции</t>
    </r>
    <r>
      <rPr>
        <sz val="11"/>
        <rFont val="Arial"/>
        <family val="2"/>
      </rPr>
      <t xml:space="preserve"> (ПИР по строительству дошкольного образовательного учреждения с бассейном на 250 мест по адресу: Московская область г.Долгопрудный,Лихачевское шоссе, в районе д.10) </t>
    </r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</si>
  <si>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</si>
  <si>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</si>
  <si>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</si>
  <si>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</si>
  <si>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 xml:space="preserve">Долгосрочная целевая  программа "Молодое поколение Долгопрудного на 2011-2015 годы" </t>
  </si>
  <si>
    <t>от 22.08.2012г. № 120-нр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</si>
</sst>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</numFmts>
  <fonts count="37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sz val="11"/>
      <name val="Times New Roman CYR"/>
      <family val="1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 Cyr"/>
      <family val="0"/>
    </font>
    <font>
      <sz val="11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11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49" fontId="13" fillId="0" borderId="12" xfId="0" applyNumberFormat="1" applyFont="1" applyBorder="1" applyAlignment="1">
      <alignment/>
    </xf>
    <xf numFmtId="49" fontId="17" fillId="0" borderId="13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0" fontId="13" fillId="0" borderId="15" xfId="0" applyFont="1" applyBorder="1" applyAlignment="1">
      <alignment wrapText="1"/>
    </xf>
    <xf numFmtId="49" fontId="13" fillId="0" borderId="16" xfId="0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164" fontId="13" fillId="0" borderId="17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49" fontId="17" fillId="0" borderId="19" xfId="0" applyNumberFormat="1" applyFont="1" applyBorder="1" applyAlignment="1">
      <alignment/>
    </xf>
    <xf numFmtId="164" fontId="17" fillId="0" borderId="19" xfId="0" applyNumberFormat="1" applyFont="1" applyBorder="1" applyAlignment="1">
      <alignment/>
    </xf>
    <xf numFmtId="0" fontId="13" fillId="0" borderId="19" xfId="0" applyFont="1" applyBorder="1" applyAlignment="1">
      <alignment wrapText="1"/>
    </xf>
    <xf numFmtId="49" fontId="13" fillId="0" borderId="18" xfId="0" applyNumberFormat="1" applyFont="1" applyBorder="1" applyAlignment="1">
      <alignment/>
    </xf>
    <xf numFmtId="49" fontId="13" fillId="0" borderId="19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0" fontId="13" fillId="0" borderId="19" xfId="0" applyFont="1" applyBorder="1" applyAlignment="1">
      <alignment/>
    </xf>
    <xf numFmtId="49" fontId="13" fillId="0" borderId="20" xfId="0" applyNumberFormat="1" applyFont="1" applyBorder="1" applyAlignment="1">
      <alignment/>
    </xf>
    <xf numFmtId="49" fontId="17" fillId="0" borderId="21" xfId="0" applyNumberFormat="1" applyFont="1" applyBorder="1" applyAlignment="1">
      <alignment/>
    </xf>
    <xf numFmtId="49" fontId="17" fillId="0" borderId="22" xfId="0" applyNumberFormat="1" applyFont="1" applyBorder="1" applyAlignment="1">
      <alignment/>
    </xf>
    <xf numFmtId="164" fontId="17" fillId="0" borderId="22" xfId="0" applyNumberFormat="1" applyFont="1" applyBorder="1" applyAlignment="1">
      <alignment/>
    </xf>
    <xf numFmtId="49" fontId="17" fillId="0" borderId="23" xfId="0" applyNumberFormat="1" applyFont="1" applyBorder="1" applyAlignment="1">
      <alignment/>
    </xf>
    <xf numFmtId="49" fontId="17" fillId="0" borderId="24" xfId="0" applyNumberFormat="1" applyFont="1" applyBorder="1" applyAlignment="1">
      <alignment/>
    </xf>
    <xf numFmtId="164" fontId="17" fillId="0" borderId="24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wrapText="1"/>
    </xf>
    <xf numFmtId="49" fontId="17" fillId="0" borderId="12" xfId="0" applyNumberFormat="1" applyFont="1" applyBorder="1" applyAlignment="1">
      <alignment wrapText="1"/>
    </xf>
    <xf numFmtId="164" fontId="13" fillId="0" borderId="14" xfId="0" applyNumberFormat="1" applyFont="1" applyBorder="1" applyAlignment="1">
      <alignment wrapText="1"/>
    </xf>
    <xf numFmtId="0" fontId="17" fillId="0" borderId="19" xfId="0" applyFont="1" applyBorder="1" applyAlignment="1">
      <alignment/>
    </xf>
    <xf numFmtId="49" fontId="17" fillId="0" borderId="20" xfId="0" applyNumberFormat="1" applyFont="1" applyBorder="1" applyAlignment="1">
      <alignment/>
    </xf>
    <xf numFmtId="49" fontId="17" fillId="0" borderId="15" xfId="0" applyNumberFormat="1" applyFont="1" applyBorder="1" applyAlignment="1">
      <alignment/>
    </xf>
    <xf numFmtId="164" fontId="17" fillId="0" borderId="15" xfId="0" applyNumberFormat="1" applyFont="1" applyBorder="1" applyAlignment="1">
      <alignment/>
    </xf>
    <xf numFmtId="0" fontId="13" fillId="0" borderId="25" xfId="0" applyFont="1" applyBorder="1" applyAlignment="1">
      <alignment/>
    </xf>
    <xf numFmtId="49" fontId="17" fillId="0" borderId="12" xfId="0" applyNumberFormat="1" applyFont="1" applyBorder="1" applyAlignment="1">
      <alignment/>
    </xf>
    <xf numFmtId="0" fontId="13" fillId="0" borderId="26" xfId="0" applyFont="1" applyBorder="1" applyAlignment="1">
      <alignment/>
    </xf>
    <xf numFmtId="49" fontId="17" fillId="0" borderId="27" xfId="0" applyNumberFormat="1" applyFont="1" applyBorder="1" applyAlignment="1">
      <alignment/>
    </xf>
    <xf numFmtId="0" fontId="13" fillId="0" borderId="28" xfId="0" applyFont="1" applyBorder="1" applyAlignment="1">
      <alignment/>
    </xf>
    <xf numFmtId="49" fontId="17" fillId="0" borderId="18" xfId="0" applyNumberFormat="1" applyFont="1" applyBorder="1" applyAlignment="1">
      <alignment horizontal="left"/>
    </xf>
    <xf numFmtId="49" fontId="17" fillId="0" borderId="20" xfId="0" applyNumberFormat="1" applyFont="1" applyBorder="1" applyAlignment="1">
      <alignment horizontal="left"/>
    </xf>
    <xf numFmtId="49" fontId="17" fillId="0" borderId="19" xfId="0" applyNumberFormat="1" applyFont="1" applyBorder="1" applyAlignment="1">
      <alignment horizontal="left"/>
    </xf>
    <xf numFmtId="49" fontId="13" fillId="0" borderId="15" xfId="0" applyNumberFormat="1" applyFont="1" applyBorder="1" applyAlignment="1">
      <alignment/>
    </xf>
    <xf numFmtId="0" fontId="13" fillId="0" borderId="20" xfId="0" applyFont="1" applyBorder="1" applyAlignment="1">
      <alignment/>
    </xf>
    <xf numFmtId="164" fontId="13" fillId="0" borderId="15" xfId="0" applyNumberFormat="1" applyFont="1" applyBorder="1" applyAlignment="1">
      <alignment/>
    </xf>
    <xf numFmtId="0" fontId="17" fillId="0" borderId="20" xfId="0" applyFont="1" applyBorder="1" applyAlignment="1">
      <alignment/>
    </xf>
    <xf numFmtId="49" fontId="17" fillId="0" borderId="29" xfId="0" applyNumberFormat="1" applyFont="1" applyBorder="1" applyAlignment="1">
      <alignment/>
    </xf>
    <xf numFmtId="49" fontId="13" fillId="0" borderId="22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164" fontId="17" fillId="24" borderId="19" xfId="0" applyNumberFormat="1" applyFont="1" applyFill="1" applyBorder="1" applyAlignment="1">
      <alignment/>
    </xf>
    <xf numFmtId="49" fontId="17" fillId="0" borderId="30" xfId="0" applyNumberFormat="1" applyFont="1" applyBorder="1" applyAlignment="1">
      <alignment/>
    </xf>
    <xf numFmtId="164" fontId="17" fillId="0" borderId="29" xfId="0" applyNumberFormat="1" applyFont="1" applyBorder="1" applyAlignment="1">
      <alignment/>
    </xf>
    <xf numFmtId="49" fontId="17" fillId="0" borderId="26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26" xfId="0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49" fontId="13" fillId="0" borderId="29" xfId="0" applyNumberFormat="1" applyFont="1" applyBorder="1" applyAlignment="1">
      <alignment/>
    </xf>
    <xf numFmtId="0" fontId="17" fillId="0" borderId="18" xfId="0" applyFont="1" applyBorder="1" applyAlignment="1">
      <alignment/>
    </xf>
    <xf numFmtId="49" fontId="17" fillId="0" borderId="31" xfId="0" applyNumberFormat="1" applyFont="1" applyBorder="1" applyAlignment="1">
      <alignment/>
    </xf>
    <xf numFmtId="49" fontId="17" fillId="0" borderId="32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13" xfId="0" applyNumberFormat="1" applyFont="1" applyBorder="1" applyAlignment="1">
      <alignment/>
    </xf>
    <xf numFmtId="49" fontId="13" fillId="0" borderId="25" xfId="0" applyNumberFormat="1" applyFont="1" applyBorder="1" applyAlignment="1">
      <alignment/>
    </xf>
    <xf numFmtId="49" fontId="13" fillId="0" borderId="33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/>
    </xf>
    <xf numFmtId="49" fontId="17" fillId="0" borderId="26" xfId="0" applyNumberFormat="1" applyFont="1" applyBorder="1" applyAlignment="1">
      <alignment/>
    </xf>
    <xf numFmtId="49" fontId="13" fillId="0" borderId="26" xfId="0" applyNumberFormat="1" applyFont="1" applyBorder="1" applyAlignment="1">
      <alignment/>
    </xf>
    <xf numFmtId="49" fontId="13" fillId="0" borderId="26" xfId="0" applyNumberFormat="1" applyFont="1" applyBorder="1" applyAlignment="1">
      <alignment horizontal="left"/>
    </xf>
    <xf numFmtId="49" fontId="17" fillId="0" borderId="30" xfId="0" applyNumberFormat="1" applyFont="1" applyBorder="1" applyAlignment="1">
      <alignment horizontal="left"/>
    </xf>
    <xf numFmtId="49" fontId="17" fillId="0" borderId="32" xfId="0" applyNumberFormat="1" applyFont="1" applyBorder="1" applyAlignment="1">
      <alignment horizontal="left"/>
    </xf>
    <xf numFmtId="49" fontId="17" fillId="0" borderId="34" xfId="0" applyNumberFormat="1" applyFont="1" applyBorder="1" applyAlignment="1">
      <alignment/>
    </xf>
    <xf numFmtId="49" fontId="17" fillId="0" borderId="35" xfId="0" applyNumberFormat="1" applyFont="1" applyBorder="1" applyAlignment="1">
      <alignment/>
    </xf>
    <xf numFmtId="49" fontId="17" fillId="0" borderId="11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left"/>
    </xf>
    <xf numFmtId="49" fontId="13" fillId="0" borderId="34" xfId="0" applyNumberFormat="1" applyFont="1" applyBorder="1" applyAlignment="1">
      <alignment horizontal="left"/>
    </xf>
    <xf numFmtId="49" fontId="13" fillId="0" borderId="36" xfId="0" applyNumberFormat="1" applyFont="1" applyBorder="1" applyAlignment="1">
      <alignment/>
    </xf>
    <xf numFmtId="49" fontId="13" fillId="0" borderId="34" xfId="0" applyNumberFormat="1" applyFont="1" applyBorder="1" applyAlignment="1">
      <alignment/>
    </xf>
    <xf numFmtId="49" fontId="17" fillId="0" borderId="37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left"/>
    </xf>
    <xf numFmtId="49" fontId="17" fillId="0" borderId="22" xfId="0" applyNumberFormat="1" applyFont="1" applyBorder="1" applyAlignment="1">
      <alignment horizontal="left"/>
    </xf>
    <xf numFmtId="49" fontId="13" fillId="0" borderId="36" xfId="0" applyNumberFormat="1" applyFont="1" applyBorder="1" applyAlignment="1">
      <alignment horizontal="left"/>
    </xf>
    <xf numFmtId="49" fontId="17" fillId="0" borderId="34" xfId="0" applyNumberFormat="1" applyFont="1" applyBorder="1" applyAlignment="1">
      <alignment horizontal="left"/>
    </xf>
    <xf numFmtId="0" fontId="13" fillId="0" borderId="34" xfId="0" applyFont="1" applyBorder="1" applyAlignment="1">
      <alignment/>
    </xf>
    <xf numFmtId="0" fontId="13" fillId="0" borderId="25" xfId="0" applyFont="1" applyBorder="1" applyAlignment="1">
      <alignment wrapText="1"/>
    </xf>
    <xf numFmtId="49" fontId="17" fillId="0" borderId="29" xfId="0" applyNumberFormat="1" applyFont="1" applyBorder="1" applyAlignment="1">
      <alignment horizontal="left"/>
    </xf>
    <xf numFmtId="49" fontId="13" fillId="0" borderId="17" xfId="0" applyNumberFormat="1" applyFont="1" applyBorder="1" applyAlignment="1">
      <alignment horizontal="left"/>
    </xf>
    <xf numFmtId="49" fontId="13" fillId="0" borderId="38" xfId="0" applyNumberFormat="1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34" xfId="0" applyFont="1" applyBorder="1" applyAlignment="1">
      <alignment wrapText="1"/>
    </xf>
    <xf numFmtId="0" fontId="17" fillId="0" borderId="30" xfId="0" applyFont="1" applyBorder="1" applyAlignment="1">
      <alignment/>
    </xf>
    <xf numFmtId="0" fontId="17" fillId="0" borderId="19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7" fillId="0" borderId="15" xfId="0" applyFont="1" applyBorder="1" applyAlignment="1">
      <alignment/>
    </xf>
    <xf numFmtId="0" fontId="17" fillId="0" borderId="22" xfId="0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17" fillId="0" borderId="11" xfId="0" applyNumberFormat="1" applyFont="1" applyBorder="1" applyAlignment="1">
      <alignment/>
    </xf>
    <xf numFmtId="164" fontId="17" fillId="0" borderId="26" xfId="0" applyNumberFormat="1" applyFont="1" applyBorder="1" applyAlignment="1">
      <alignment/>
    </xf>
    <xf numFmtId="0" fontId="18" fillId="0" borderId="0" xfId="0" applyFont="1" applyAlignment="1">
      <alignment/>
    </xf>
    <xf numFmtId="49" fontId="13" fillId="0" borderId="39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49" fontId="13" fillId="0" borderId="40" xfId="0" applyNumberFormat="1" applyFont="1" applyBorder="1" applyAlignment="1">
      <alignment horizontal="left"/>
    </xf>
    <xf numFmtId="0" fontId="17" fillId="0" borderId="29" xfId="0" applyFont="1" applyBorder="1" applyAlignment="1">
      <alignment/>
    </xf>
    <xf numFmtId="0" fontId="17" fillId="24" borderId="19" xfId="0" applyFont="1" applyFill="1" applyBorder="1" applyAlignment="1">
      <alignment wrapText="1"/>
    </xf>
    <xf numFmtId="49" fontId="14" fillId="0" borderId="1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left"/>
    </xf>
    <xf numFmtId="49" fontId="13" fillId="0" borderId="18" xfId="0" applyNumberFormat="1" applyFont="1" applyBorder="1" applyAlignment="1">
      <alignment horizontal="left"/>
    </xf>
    <xf numFmtId="49" fontId="17" fillId="0" borderId="41" xfId="0" applyNumberFormat="1" applyFont="1" applyBorder="1" applyAlignment="1">
      <alignment/>
    </xf>
    <xf numFmtId="49" fontId="17" fillId="0" borderId="15" xfId="0" applyNumberFormat="1" applyFont="1" applyBorder="1" applyAlignment="1">
      <alignment horizontal="left"/>
    </xf>
    <xf numFmtId="0" fontId="17" fillId="24" borderId="22" xfId="0" applyFont="1" applyFill="1" applyBorder="1" applyAlignment="1">
      <alignment/>
    </xf>
    <xf numFmtId="49" fontId="17" fillId="24" borderId="34" xfId="0" applyNumberFormat="1" applyFont="1" applyFill="1" applyBorder="1" applyAlignment="1">
      <alignment/>
    </xf>
    <xf numFmtId="49" fontId="17" fillId="24" borderId="22" xfId="0" applyNumberFormat="1" applyFont="1" applyFill="1" applyBorder="1" applyAlignment="1">
      <alignment/>
    </xf>
    <xf numFmtId="49" fontId="17" fillId="24" borderId="21" xfId="0" applyNumberFormat="1" applyFont="1" applyFill="1" applyBorder="1" applyAlignment="1">
      <alignment/>
    </xf>
    <xf numFmtId="49" fontId="17" fillId="24" borderId="19" xfId="0" applyNumberFormat="1" applyFont="1" applyFill="1" applyBorder="1" applyAlignment="1">
      <alignment/>
    </xf>
    <xf numFmtId="49" fontId="17" fillId="24" borderId="18" xfId="0" applyNumberFormat="1" applyFont="1" applyFill="1" applyBorder="1" applyAlignment="1">
      <alignment/>
    </xf>
    <xf numFmtId="0" fontId="17" fillId="24" borderId="19" xfId="0" applyFont="1" applyFill="1" applyBorder="1" applyAlignment="1">
      <alignment/>
    </xf>
    <xf numFmtId="49" fontId="17" fillId="24" borderId="26" xfId="0" applyNumberFormat="1" applyFont="1" applyFill="1" applyBorder="1" applyAlignment="1">
      <alignment/>
    </xf>
    <xf numFmtId="49" fontId="17" fillId="24" borderId="26" xfId="0" applyNumberFormat="1" applyFont="1" applyFill="1" applyBorder="1" applyAlignment="1">
      <alignment horizontal="left"/>
    </xf>
    <xf numFmtId="49" fontId="17" fillId="24" borderId="0" xfId="0" applyNumberFormat="1" applyFont="1" applyFill="1" applyBorder="1" applyAlignment="1">
      <alignment/>
    </xf>
    <xf numFmtId="164" fontId="17" fillId="24" borderId="22" xfId="0" applyNumberFormat="1" applyFont="1" applyFill="1" applyBorder="1" applyAlignment="1">
      <alignment/>
    </xf>
    <xf numFmtId="49" fontId="17" fillId="24" borderId="19" xfId="0" applyNumberFormat="1" applyFont="1" applyFill="1" applyBorder="1" applyAlignment="1">
      <alignment horizontal="left"/>
    </xf>
    <xf numFmtId="0" fontId="17" fillId="24" borderId="30" xfId="0" applyFont="1" applyFill="1" applyBorder="1" applyAlignment="1">
      <alignment/>
    </xf>
    <xf numFmtId="49" fontId="17" fillId="24" borderId="29" xfId="0" applyNumberFormat="1" applyFont="1" applyFill="1" applyBorder="1" applyAlignment="1">
      <alignment/>
    </xf>
    <xf numFmtId="164" fontId="17" fillId="24" borderId="29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9" fontId="17" fillId="0" borderId="42" xfId="0" applyNumberFormat="1" applyFont="1" applyBorder="1" applyAlignment="1">
      <alignment horizontal="left"/>
    </xf>
    <xf numFmtId="49" fontId="17" fillId="0" borderId="41" xfId="0" applyNumberFormat="1" applyFont="1" applyBorder="1" applyAlignment="1">
      <alignment horizontal="left"/>
    </xf>
    <xf numFmtId="49" fontId="17" fillId="0" borderId="43" xfId="0" applyNumberFormat="1" applyFont="1" applyBorder="1" applyAlignment="1">
      <alignment horizontal="left"/>
    </xf>
    <xf numFmtId="49" fontId="17" fillId="0" borderId="44" xfId="0" applyNumberFormat="1" applyFont="1" applyBorder="1" applyAlignment="1">
      <alignment/>
    </xf>
    <xf numFmtId="49" fontId="13" fillId="0" borderId="41" xfId="0" applyNumberFormat="1" applyFont="1" applyBorder="1" applyAlignment="1">
      <alignment/>
    </xf>
    <xf numFmtId="49" fontId="13" fillId="0" borderId="44" xfId="0" applyNumberFormat="1" applyFont="1" applyBorder="1" applyAlignment="1">
      <alignment/>
    </xf>
    <xf numFmtId="49" fontId="17" fillId="0" borderId="42" xfId="0" applyNumberFormat="1" applyFont="1" applyBorder="1" applyAlignment="1">
      <alignment/>
    </xf>
    <xf numFmtId="49" fontId="17" fillId="0" borderId="21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0" fontId="17" fillId="24" borderId="26" xfId="0" applyFont="1" applyFill="1" applyBorder="1" applyAlignment="1">
      <alignment horizontal="left" wrapText="1"/>
    </xf>
    <xf numFmtId="174" fontId="13" fillId="0" borderId="14" xfId="60" applyNumberFormat="1" applyFont="1" applyBorder="1" applyAlignment="1">
      <alignment/>
    </xf>
    <xf numFmtId="0" fontId="19" fillId="24" borderId="45" xfId="0" applyFont="1" applyFill="1" applyBorder="1" applyAlignment="1">
      <alignment wrapText="1"/>
    </xf>
    <xf numFmtId="49" fontId="17" fillId="0" borderId="38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164" fontId="17" fillId="0" borderId="34" xfId="0" applyNumberFormat="1" applyFont="1" applyBorder="1" applyAlignment="1">
      <alignment/>
    </xf>
    <xf numFmtId="0" fontId="17" fillId="24" borderId="19" xfId="0" applyFont="1" applyFill="1" applyBorder="1" applyAlignment="1">
      <alignment horizontal="left" wrapText="1"/>
    </xf>
    <xf numFmtId="0" fontId="17" fillId="24" borderId="26" xfId="0" applyFont="1" applyFill="1" applyBorder="1" applyAlignment="1">
      <alignment wrapText="1"/>
    </xf>
    <xf numFmtId="49" fontId="17" fillId="0" borderId="24" xfId="0" applyNumberFormat="1" applyFont="1" applyBorder="1" applyAlignment="1">
      <alignment horizontal="left"/>
    </xf>
    <xf numFmtId="164" fontId="13" fillId="0" borderId="18" xfId="0" applyNumberFormat="1" applyFont="1" applyBorder="1" applyAlignment="1">
      <alignment/>
    </xf>
    <xf numFmtId="164" fontId="17" fillId="0" borderId="20" xfId="0" applyNumberFormat="1" applyFont="1" applyBorder="1" applyAlignment="1">
      <alignment/>
    </xf>
    <xf numFmtId="164" fontId="17" fillId="0" borderId="18" xfId="0" applyNumberFormat="1" applyFont="1" applyBorder="1" applyAlignment="1">
      <alignment/>
    </xf>
    <xf numFmtId="164" fontId="17" fillId="24" borderId="18" xfId="0" applyNumberFormat="1" applyFont="1" applyFill="1" applyBorder="1" applyAlignment="1">
      <alignment/>
    </xf>
    <xf numFmtId="164" fontId="13" fillId="0" borderId="20" xfId="0" applyNumberFormat="1" applyFont="1" applyBorder="1" applyAlignment="1">
      <alignment/>
    </xf>
    <xf numFmtId="164" fontId="17" fillId="0" borderId="21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75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49" fontId="13" fillId="0" borderId="29" xfId="0" applyNumberFormat="1" applyFont="1" applyBorder="1" applyAlignment="1">
      <alignment horizontal="left"/>
    </xf>
    <xf numFmtId="0" fontId="19" fillId="24" borderId="46" xfId="0" applyFont="1" applyFill="1" applyBorder="1" applyAlignment="1">
      <alignment wrapText="1"/>
    </xf>
    <xf numFmtId="0" fontId="19" fillId="24" borderId="11" xfId="0" applyFont="1" applyFill="1" applyBorder="1" applyAlignment="1">
      <alignment wrapText="1"/>
    </xf>
    <xf numFmtId="49" fontId="13" fillId="0" borderId="15" xfId="0" applyNumberFormat="1" applyFont="1" applyBorder="1" applyAlignment="1">
      <alignment horizontal="left"/>
    </xf>
    <xf numFmtId="49" fontId="17" fillId="24" borderId="30" xfId="0" applyNumberFormat="1" applyFont="1" applyFill="1" applyBorder="1" applyAlignment="1">
      <alignment/>
    </xf>
    <xf numFmtId="164" fontId="17" fillId="24" borderId="30" xfId="0" applyNumberFormat="1" applyFont="1" applyFill="1" applyBorder="1" applyAlignment="1">
      <alignment/>
    </xf>
    <xf numFmtId="0" fontId="19" fillId="24" borderId="26" xfId="0" applyFont="1" applyFill="1" applyBorder="1" applyAlignment="1">
      <alignment wrapText="1"/>
    </xf>
    <xf numFmtId="0" fontId="17" fillId="24" borderId="26" xfId="0" applyFont="1" applyFill="1" applyBorder="1" applyAlignment="1">
      <alignment/>
    </xf>
    <xf numFmtId="0" fontId="17" fillId="24" borderId="11" xfId="0" applyFont="1" applyFill="1" applyBorder="1" applyAlignment="1">
      <alignment/>
    </xf>
    <xf numFmtId="49" fontId="17" fillId="0" borderId="47" xfId="0" applyNumberFormat="1" applyFont="1" applyBorder="1" applyAlignment="1">
      <alignment/>
    </xf>
    <xf numFmtId="49" fontId="17" fillId="24" borderId="31" xfId="0" applyNumberFormat="1" applyFont="1" applyFill="1" applyBorder="1" applyAlignment="1">
      <alignment/>
    </xf>
    <xf numFmtId="164" fontId="13" fillId="0" borderId="36" xfId="0" applyNumberFormat="1" applyFont="1" applyBorder="1" applyAlignment="1">
      <alignment/>
    </xf>
    <xf numFmtId="164" fontId="17" fillId="24" borderId="26" xfId="0" applyNumberFormat="1" applyFont="1" applyFill="1" applyBorder="1" applyAlignment="1">
      <alignment/>
    </xf>
    <xf numFmtId="164" fontId="17" fillId="24" borderId="32" xfId="0" applyNumberFormat="1" applyFont="1" applyFill="1" applyBorder="1" applyAlignment="1">
      <alignment/>
    </xf>
    <xf numFmtId="164" fontId="17" fillId="0" borderId="48" xfId="0" applyNumberFormat="1" applyFont="1" applyBorder="1" applyAlignment="1">
      <alignment/>
    </xf>
    <xf numFmtId="164" fontId="17" fillId="0" borderId="41" xfId="0" applyNumberFormat="1" applyFont="1" applyBorder="1" applyAlignment="1">
      <alignment/>
    </xf>
    <xf numFmtId="49" fontId="17" fillId="0" borderId="49" xfId="0" applyNumberFormat="1" applyFont="1" applyBorder="1" applyAlignment="1">
      <alignment/>
    </xf>
    <xf numFmtId="49" fontId="13" fillId="0" borderId="48" xfId="0" applyNumberFormat="1" applyFont="1" applyBorder="1" applyAlignment="1">
      <alignment/>
    </xf>
    <xf numFmtId="164" fontId="17" fillId="0" borderId="42" xfId="0" applyNumberFormat="1" applyFont="1" applyBorder="1" applyAlignment="1">
      <alignment/>
    </xf>
    <xf numFmtId="164" fontId="17" fillId="0" borderId="44" xfId="0" applyNumberFormat="1" applyFont="1" applyBorder="1" applyAlignment="1">
      <alignment/>
    </xf>
    <xf numFmtId="164" fontId="13" fillId="0" borderId="41" xfId="0" applyNumberFormat="1" applyFont="1" applyBorder="1" applyAlignment="1">
      <alignment/>
    </xf>
    <xf numFmtId="164" fontId="17" fillId="0" borderId="43" xfId="0" applyNumberFormat="1" applyFont="1" applyBorder="1" applyAlignment="1">
      <alignment/>
    </xf>
    <xf numFmtId="164" fontId="17" fillId="0" borderId="49" xfId="0" applyNumberFormat="1" applyFont="1" applyBorder="1" applyAlignment="1">
      <alignment/>
    </xf>
    <xf numFmtId="0" fontId="17" fillId="24" borderId="34" xfId="0" applyFont="1" applyFill="1" applyBorder="1" applyAlignment="1">
      <alignment wrapText="1"/>
    </xf>
    <xf numFmtId="49" fontId="13" fillId="0" borderId="49" xfId="0" applyNumberFormat="1" applyFont="1" applyBorder="1" applyAlignment="1">
      <alignment/>
    </xf>
    <xf numFmtId="164" fontId="13" fillId="0" borderId="49" xfId="0" applyNumberFormat="1" applyFont="1" applyBorder="1" applyAlignment="1">
      <alignment/>
    </xf>
    <xf numFmtId="49" fontId="17" fillId="0" borderId="5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17" fillId="0" borderId="49" xfId="0" applyNumberFormat="1" applyFont="1" applyBorder="1" applyAlignment="1">
      <alignment horizontal="left"/>
    </xf>
    <xf numFmtId="0" fontId="17" fillId="0" borderId="49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164" fontId="13" fillId="0" borderId="21" xfId="0" applyNumberFormat="1" applyFont="1" applyBorder="1" applyAlignment="1">
      <alignment/>
    </xf>
    <xf numFmtId="164" fontId="13" fillId="0" borderId="22" xfId="0" applyNumberFormat="1" applyFont="1" applyBorder="1" applyAlignment="1">
      <alignment/>
    </xf>
    <xf numFmtId="0" fontId="17" fillId="24" borderId="19" xfId="0" applyFont="1" applyFill="1" applyBorder="1" applyAlignment="1">
      <alignment vertical="center" wrapText="1"/>
    </xf>
    <xf numFmtId="0" fontId="13" fillId="0" borderId="50" xfId="0" applyFont="1" applyBorder="1" applyAlignment="1">
      <alignment/>
    </xf>
    <xf numFmtId="0" fontId="17" fillId="0" borderId="37" xfId="0" applyFont="1" applyBorder="1" applyAlignment="1">
      <alignment/>
    </xf>
    <xf numFmtId="49" fontId="13" fillId="0" borderId="51" xfId="0" applyNumberFormat="1" applyFont="1" applyBorder="1" applyAlignment="1">
      <alignment/>
    </xf>
    <xf numFmtId="49" fontId="13" fillId="0" borderId="52" xfId="0" applyNumberFormat="1" applyFont="1" applyBorder="1" applyAlignment="1">
      <alignment/>
    </xf>
    <xf numFmtId="49" fontId="17" fillId="0" borderId="48" xfId="0" applyNumberFormat="1" applyFont="1" applyBorder="1" applyAlignment="1">
      <alignment/>
    </xf>
    <xf numFmtId="49" fontId="17" fillId="0" borderId="43" xfId="0" applyNumberFormat="1" applyFont="1" applyBorder="1" applyAlignment="1">
      <alignment/>
    </xf>
    <xf numFmtId="49" fontId="17" fillId="24" borderId="41" xfId="0" applyNumberFormat="1" applyFont="1" applyFill="1" applyBorder="1" applyAlignment="1">
      <alignment/>
    </xf>
    <xf numFmtId="49" fontId="17" fillId="24" borderId="43" xfId="0" applyNumberFormat="1" applyFont="1" applyFill="1" applyBorder="1" applyAlignment="1">
      <alignment/>
    </xf>
    <xf numFmtId="0" fontId="17" fillId="0" borderId="45" xfId="0" applyNumberFormat="1" applyFont="1" applyFill="1" applyBorder="1" applyAlignment="1">
      <alignment horizontal="left" vertical="top" wrapText="1"/>
    </xf>
    <xf numFmtId="164" fontId="17" fillId="0" borderId="47" xfId="0" applyNumberFormat="1" applyFont="1" applyBorder="1" applyAlignment="1">
      <alignment/>
    </xf>
    <xf numFmtId="0" fontId="17" fillId="24" borderId="45" xfId="0" applyFont="1" applyFill="1" applyBorder="1" applyAlignment="1">
      <alignment wrapText="1"/>
    </xf>
    <xf numFmtId="0" fontId="17" fillId="0" borderId="26" xfId="0" applyFont="1" applyBorder="1" applyAlignment="1">
      <alignment wrapText="1" shrinkToFit="1"/>
    </xf>
    <xf numFmtId="0" fontId="16" fillId="0" borderId="25" xfId="0" applyFont="1" applyBorder="1" applyAlignment="1">
      <alignment horizontal="center"/>
    </xf>
    <xf numFmtId="0" fontId="17" fillId="0" borderId="26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wrapText="1"/>
    </xf>
    <xf numFmtId="164" fontId="17" fillId="0" borderId="50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0" fontId="16" fillId="0" borderId="25" xfId="0" applyFont="1" applyBorder="1" applyAlignment="1">
      <alignment horizontal="center" wrapText="1"/>
    </xf>
    <xf numFmtId="0" fontId="16" fillId="24" borderId="25" xfId="0" applyFont="1" applyFill="1" applyBorder="1" applyAlignment="1">
      <alignment horizontal="center" wrapText="1"/>
    </xf>
    <xf numFmtId="0" fontId="13" fillId="0" borderId="36" xfId="0" applyFont="1" applyBorder="1" applyAlignment="1">
      <alignment/>
    </xf>
    <xf numFmtId="0" fontId="19" fillId="24" borderId="30" xfId="0" applyFont="1" applyFill="1" applyBorder="1" applyAlignment="1">
      <alignment wrapText="1"/>
    </xf>
    <xf numFmtId="49" fontId="8" fillId="24" borderId="0" xfId="0" applyNumberFormat="1" applyFont="1" applyFill="1" applyAlignment="1">
      <alignment/>
    </xf>
    <xf numFmtId="0" fontId="17" fillId="24" borderId="11" xfId="0" applyFont="1" applyFill="1" applyBorder="1" applyAlignment="1">
      <alignment wrapText="1"/>
    </xf>
    <xf numFmtId="164" fontId="17" fillId="24" borderId="15" xfId="0" applyNumberFormat="1" applyFont="1" applyFill="1" applyBorder="1" applyAlignment="1">
      <alignment/>
    </xf>
    <xf numFmtId="0" fontId="13" fillId="24" borderId="34" xfId="0" applyFont="1" applyFill="1" applyBorder="1" applyAlignment="1">
      <alignment wrapText="1"/>
    </xf>
    <xf numFmtId="49" fontId="17" fillId="24" borderId="11" xfId="0" applyNumberFormat="1" applyFont="1" applyFill="1" applyBorder="1" applyAlignment="1">
      <alignment/>
    </xf>
    <xf numFmtId="0" fontId="13" fillId="0" borderId="36" xfId="0" applyFont="1" applyBorder="1" applyAlignment="1">
      <alignment wrapText="1"/>
    </xf>
    <xf numFmtId="49" fontId="13" fillId="0" borderId="53" xfId="0" applyNumberFormat="1" applyFont="1" applyBorder="1" applyAlignment="1">
      <alignment horizontal="left"/>
    </xf>
    <xf numFmtId="49" fontId="17" fillId="24" borderId="20" xfId="0" applyNumberFormat="1" applyFont="1" applyFill="1" applyBorder="1" applyAlignment="1">
      <alignment/>
    </xf>
    <xf numFmtId="49" fontId="13" fillId="24" borderId="11" xfId="0" applyNumberFormat="1" applyFont="1" applyFill="1" applyBorder="1" applyAlignment="1">
      <alignment/>
    </xf>
    <xf numFmtId="49" fontId="13" fillId="24" borderId="15" xfId="0" applyNumberFormat="1" applyFont="1" applyFill="1" applyBorder="1" applyAlignment="1">
      <alignment/>
    </xf>
    <xf numFmtId="49" fontId="13" fillId="24" borderId="20" xfId="0" applyNumberFormat="1" applyFont="1" applyFill="1" applyBorder="1" applyAlignment="1">
      <alignment/>
    </xf>
    <xf numFmtId="49" fontId="13" fillId="24" borderId="15" xfId="0" applyNumberFormat="1" applyFont="1" applyFill="1" applyBorder="1" applyAlignment="1">
      <alignment horizontal="left"/>
    </xf>
    <xf numFmtId="0" fontId="13" fillId="0" borderId="15" xfId="0" applyFont="1" applyBorder="1" applyAlignment="1">
      <alignment/>
    </xf>
    <xf numFmtId="49" fontId="17" fillId="24" borderId="29" xfId="0" applyNumberFormat="1" applyFont="1" applyFill="1" applyBorder="1" applyAlignment="1">
      <alignment horizontal="left"/>
    </xf>
    <xf numFmtId="0" fontId="17" fillId="0" borderId="37" xfId="0" applyFont="1" applyBorder="1" applyAlignment="1">
      <alignment wrapText="1"/>
    </xf>
    <xf numFmtId="164" fontId="17" fillId="0" borderId="23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left"/>
    </xf>
    <xf numFmtId="0" fontId="17" fillId="0" borderId="30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164" fontId="13" fillId="0" borderId="38" xfId="0" applyNumberFormat="1" applyFont="1" applyBorder="1" applyAlignment="1">
      <alignment/>
    </xf>
    <xf numFmtId="49" fontId="13" fillId="0" borderId="54" xfId="0" applyNumberFormat="1" applyFont="1" applyBorder="1" applyAlignment="1">
      <alignment/>
    </xf>
    <xf numFmtId="164" fontId="17" fillId="0" borderId="55" xfId="0" applyNumberFormat="1" applyFont="1" applyBorder="1" applyAlignment="1">
      <alignment/>
    </xf>
    <xf numFmtId="164" fontId="17" fillId="0" borderId="32" xfId="0" applyNumberFormat="1" applyFont="1" applyBorder="1" applyAlignment="1">
      <alignment/>
    </xf>
    <xf numFmtId="49" fontId="17" fillId="0" borderId="55" xfId="0" applyNumberFormat="1" applyFont="1" applyBorder="1" applyAlignment="1">
      <alignment horizontal="left"/>
    </xf>
    <xf numFmtId="0" fontId="13" fillId="24" borderId="19" xfId="0" applyFont="1" applyFill="1" applyBorder="1" applyAlignment="1">
      <alignment wrapText="1"/>
    </xf>
    <xf numFmtId="0" fontId="17" fillId="0" borderId="21" xfId="0" applyFont="1" applyBorder="1" applyAlignment="1">
      <alignment/>
    </xf>
    <xf numFmtId="0" fontId="17" fillId="24" borderId="11" xfId="0" applyNumberFormat="1" applyFont="1" applyFill="1" applyBorder="1" applyAlignment="1">
      <alignment wrapText="1"/>
    </xf>
    <xf numFmtId="164" fontId="13" fillId="0" borderId="12" xfId="0" applyNumberFormat="1" applyFont="1" applyBorder="1" applyAlignment="1">
      <alignment/>
    </xf>
    <xf numFmtId="49" fontId="13" fillId="0" borderId="31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49" fontId="13" fillId="0" borderId="56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7" fillId="24" borderId="34" xfId="0" applyFont="1" applyFill="1" applyBorder="1" applyAlignment="1">
      <alignment/>
    </xf>
    <xf numFmtId="49" fontId="17" fillId="24" borderId="18" xfId="0" applyNumberFormat="1" applyFont="1" applyFill="1" applyBorder="1" applyAlignment="1">
      <alignment horizontal="left"/>
    </xf>
    <xf numFmtId="164" fontId="17" fillId="0" borderId="30" xfId="0" applyNumberFormat="1" applyFont="1" applyBorder="1" applyAlignment="1">
      <alignment/>
    </xf>
    <xf numFmtId="164" fontId="13" fillId="0" borderId="34" xfId="0" applyNumberFormat="1" applyFont="1" applyBorder="1" applyAlignment="1">
      <alignment/>
    </xf>
    <xf numFmtId="164" fontId="17" fillId="24" borderId="34" xfId="0" applyNumberFormat="1" applyFont="1" applyFill="1" applyBorder="1" applyAlignment="1">
      <alignment/>
    </xf>
    <xf numFmtId="0" fontId="19" fillId="24" borderId="19" xfId="0" applyFont="1" applyFill="1" applyBorder="1" applyAlignment="1">
      <alignment wrapText="1"/>
    </xf>
    <xf numFmtId="0" fontId="17" fillId="0" borderId="19" xfId="0" applyNumberFormat="1" applyFont="1" applyFill="1" applyBorder="1" applyAlignment="1">
      <alignment horizontal="left" vertical="center" wrapText="1"/>
    </xf>
    <xf numFmtId="49" fontId="13" fillId="0" borderId="32" xfId="0" applyNumberFormat="1" applyFont="1" applyBorder="1" applyAlignment="1">
      <alignment horizontal="left"/>
    </xf>
    <xf numFmtId="49" fontId="13" fillId="0" borderId="55" xfId="0" applyNumberFormat="1" applyFont="1" applyBorder="1" applyAlignment="1">
      <alignment horizontal="left"/>
    </xf>
    <xf numFmtId="0" fontId="16" fillId="0" borderId="14" xfId="0" applyFont="1" applyBorder="1" applyAlignment="1">
      <alignment horizontal="center" wrapText="1"/>
    </xf>
    <xf numFmtId="49" fontId="13" fillId="0" borderId="25" xfId="0" applyNumberFormat="1" applyFont="1" applyBorder="1" applyAlignment="1">
      <alignment horizontal="left"/>
    </xf>
    <xf numFmtId="49" fontId="13" fillId="24" borderId="34" xfId="0" applyNumberFormat="1" applyFont="1" applyFill="1" applyBorder="1" applyAlignment="1">
      <alignment/>
    </xf>
    <xf numFmtId="49" fontId="13" fillId="24" borderId="19" xfId="0" applyNumberFormat="1" applyFont="1" applyFill="1" applyBorder="1" applyAlignment="1">
      <alignment/>
    </xf>
    <xf numFmtId="49" fontId="13" fillId="24" borderId="22" xfId="0" applyNumberFormat="1" applyFont="1" applyFill="1" applyBorder="1" applyAlignment="1">
      <alignment/>
    </xf>
    <xf numFmtId="49" fontId="13" fillId="24" borderId="0" xfId="0" applyNumberFormat="1" applyFont="1" applyFill="1" applyBorder="1" applyAlignment="1">
      <alignment/>
    </xf>
    <xf numFmtId="49" fontId="13" fillId="24" borderId="18" xfId="0" applyNumberFormat="1" applyFont="1" applyFill="1" applyBorder="1" applyAlignment="1">
      <alignment horizontal="left"/>
    </xf>
    <xf numFmtId="164" fontId="13" fillId="0" borderId="28" xfId="0" applyNumberFormat="1" applyFont="1" applyBorder="1" applyAlignment="1">
      <alignment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7" fillId="0" borderId="11" xfId="0" applyFont="1" applyFill="1" applyBorder="1" applyAlignment="1">
      <alignment/>
    </xf>
    <xf numFmtId="49" fontId="17" fillId="0" borderId="34" xfId="0" applyNumberFormat="1" applyFont="1" applyFill="1" applyBorder="1" applyAlignment="1">
      <alignment/>
    </xf>
    <xf numFmtId="49" fontId="17" fillId="0" borderId="15" xfId="0" applyNumberFormat="1" applyFont="1" applyFill="1" applyBorder="1" applyAlignment="1">
      <alignment/>
    </xf>
    <xf numFmtId="49" fontId="17" fillId="0" borderId="22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49" fontId="17" fillId="0" borderId="19" xfId="0" applyNumberFormat="1" applyFont="1" applyFill="1" applyBorder="1" applyAlignment="1">
      <alignment/>
    </xf>
    <xf numFmtId="164" fontId="17" fillId="0" borderId="21" xfId="0" applyNumberFormat="1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26" xfId="0" applyFont="1" applyFill="1" applyBorder="1" applyAlignment="1">
      <alignment wrapText="1"/>
    </xf>
    <xf numFmtId="49" fontId="17" fillId="0" borderId="26" xfId="0" applyNumberFormat="1" applyFont="1" applyFill="1" applyBorder="1" applyAlignment="1">
      <alignment/>
    </xf>
    <xf numFmtId="49" fontId="17" fillId="0" borderId="18" xfId="0" applyNumberFormat="1" applyFont="1" applyFill="1" applyBorder="1" applyAlignment="1">
      <alignment/>
    </xf>
    <xf numFmtId="49" fontId="17" fillId="0" borderId="19" xfId="0" applyNumberFormat="1" applyFont="1" applyFill="1" applyBorder="1" applyAlignment="1">
      <alignment horizontal="left"/>
    </xf>
    <xf numFmtId="164" fontId="17" fillId="0" borderId="18" xfId="0" applyNumberFormat="1" applyFont="1" applyFill="1" applyBorder="1" applyAlignment="1">
      <alignment/>
    </xf>
    <xf numFmtId="164" fontId="17" fillId="0" borderId="19" xfId="0" applyNumberFormat="1" applyFont="1" applyFill="1" applyBorder="1" applyAlignment="1">
      <alignment/>
    </xf>
    <xf numFmtId="49" fontId="17" fillId="0" borderId="30" xfId="0" applyNumberFormat="1" applyFont="1" applyFill="1" applyBorder="1" applyAlignment="1">
      <alignment/>
    </xf>
    <xf numFmtId="49" fontId="17" fillId="0" borderId="11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4" fontId="17" fillId="0" borderId="29" xfId="0" applyNumberFormat="1" applyFont="1" applyFill="1" applyBorder="1" applyAlignment="1">
      <alignment/>
    </xf>
    <xf numFmtId="0" fontId="17" fillId="0" borderId="26" xfId="0" applyFont="1" applyFill="1" applyBorder="1" applyAlignment="1">
      <alignment/>
    </xf>
    <xf numFmtId="49" fontId="17" fillId="0" borderId="57" xfId="0" applyNumberFormat="1" applyFont="1" applyBorder="1" applyAlignment="1">
      <alignment horizontal="left"/>
    </xf>
    <xf numFmtId="49" fontId="17" fillId="24" borderId="15" xfId="0" applyNumberFormat="1" applyFont="1" applyFill="1" applyBorder="1" applyAlignment="1">
      <alignment/>
    </xf>
    <xf numFmtId="49" fontId="17" fillId="24" borderId="44" xfId="0" applyNumberFormat="1" applyFont="1" applyFill="1" applyBorder="1" applyAlignment="1">
      <alignment/>
    </xf>
    <xf numFmtId="164" fontId="17" fillId="24" borderId="11" xfId="0" applyNumberFormat="1" applyFont="1" applyFill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0" fontId="17" fillId="0" borderId="26" xfId="0" applyNumberFormat="1" applyFont="1" applyBorder="1" applyAlignment="1">
      <alignment wrapText="1"/>
    </xf>
    <xf numFmtId="0" fontId="13" fillId="24" borderId="19" xfId="0" applyFont="1" applyFill="1" applyBorder="1" applyAlignment="1">
      <alignment/>
    </xf>
    <xf numFmtId="0" fontId="17" fillId="24" borderId="32" xfId="0" applyFont="1" applyFill="1" applyBorder="1" applyAlignment="1">
      <alignment/>
    </xf>
    <xf numFmtId="0" fontId="13" fillId="24" borderId="26" xfId="0" applyFont="1" applyFill="1" applyBorder="1" applyAlignment="1">
      <alignment/>
    </xf>
    <xf numFmtId="164" fontId="17" fillId="0" borderId="39" xfId="0" applyNumberFormat="1" applyFont="1" applyBorder="1" applyAlignment="1">
      <alignment/>
    </xf>
    <xf numFmtId="164" fontId="17" fillId="0" borderId="58" xfId="0" applyNumberFormat="1" applyFont="1" applyBorder="1" applyAlignment="1">
      <alignment/>
    </xf>
    <xf numFmtId="49" fontId="17" fillId="0" borderId="59" xfId="0" applyNumberFormat="1" applyFont="1" applyBorder="1" applyAlignment="1">
      <alignment/>
    </xf>
    <xf numFmtId="164" fontId="13" fillId="24" borderId="11" xfId="0" applyNumberFormat="1" applyFont="1" applyFill="1" applyBorder="1" applyAlignment="1">
      <alignment/>
    </xf>
    <xf numFmtId="164" fontId="13" fillId="24" borderId="15" xfId="0" applyNumberFormat="1" applyFont="1" applyFill="1" applyBorder="1" applyAlignment="1">
      <alignment/>
    </xf>
    <xf numFmtId="0" fontId="13" fillId="24" borderId="26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49" fontId="17" fillId="0" borderId="25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49" fontId="17" fillId="0" borderId="12" xfId="0" applyNumberFormat="1" applyFont="1" applyBorder="1" applyAlignment="1">
      <alignment horizontal="left"/>
    </xf>
    <xf numFmtId="0" fontId="17" fillId="0" borderId="14" xfId="0" applyFont="1" applyBorder="1" applyAlignment="1">
      <alignment/>
    </xf>
    <xf numFmtId="0" fontId="17" fillId="0" borderId="38" xfId="0" applyFont="1" applyBorder="1" applyAlignment="1">
      <alignment/>
    </xf>
    <xf numFmtId="164" fontId="17" fillId="0" borderId="38" xfId="0" applyNumberFormat="1" applyFont="1" applyBorder="1" applyAlignment="1">
      <alignment/>
    </xf>
    <xf numFmtId="49" fontId="17" fillId="24" borderId="11" xfId="0" applyNumberFormat="1" applyFont="1" applyFill="1" applyBorder="1" applyAlignment="1">
      <alignment horizontal="left"/>
    </xf>
    <xf numFmtId="49" fontId="17" fillId="24" borderId="21" xfId="0" applyNumberFormat="1" applyFont="1" applyFill="1" applyBorder="1" applyAlignment="1">
      <alignment horizontal="left"/>
    </xf>
    <xf numFmtId="49" fontId="17" fillId="0" borderId="29" xfId="0" applyNumberFormat="1" applyFont="1" applyFill="1" applyBorder="1" applyAlignment="1">
      <alignment/>
    </xf>
    <xf numFmtId="49" fontId="17" fillId="0" borderId="21" xfId="0" applyNumberFormat="1" applyFont="1" applyFill="1" applyBorder="1" applyAlignment="1">
      <alignment/>
    </xf>
    <xf numFmtId="49" fontId="17" fillId="0" borderId="29" xfId="0" applyNumberFormat="1" applyFont="1" applyFill="1" applyBorder="1" applyAlignment="1">
      <alignment horizontal="left"/>
    </xf>
    <xf numFmtId="164" fontId="17" fillId="0" borderId="34" xfId="0" applyNumberFormat="1" applyFont="1" applyFill="1" applyBorder="1" applyAlignment="1">
      <alignment/>
    </xf>
    <xf numFmtId="164" fontId="17" fillId="0" borderId="22" xfId="0" applyNumberFormat="1" applyFont="1" applyFill="1" applyBorder="1" applyAlignment="1">
      <alignment/>
    </xf>
    <xf numFmtId="164" fontId="13" fillId="0" borderId="16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17" fillId="0" borderId="60" xfId="0" applyNumberFormat="1" applyFont="1" applyBorder="1" applyAlignment="1">
      <alignment/>
    </xf>
    <xf numFmtId="49" fontId="17" fillId="0" borderId="55" xfId="0" applyNumberFormat="1" applyFont="1" applyBorder="1" applyAlignment="1">
      <alignment/>
    </xf>
    <xf numFmtId="49" fontId="17" fillId="0" borderId="56" xfId="0" applyNumberFormat="1" applyFont="1" applyBorder="1" applyAlignment="1">
      <alignment horizontal="left"/>
    </xf>
    <xf numFmtId="49" fontId="17" fillId="0" borderId="31" xfId="0" applyNumberFormat="1" applyFont="1" applyBorder="1" applyAlignment="1">
      <alignment horizontal="left"/>
    </xf>
    <xf numFmtId="164" fontId="13" fillId="0" borderId="55" xfId="0" applyNumberFormat="1" applyFont="1" applyBorder="1" applyAlignment="1">
      <alignment/>
    </xf>
    <xf numFmtId="164" fontId="13" fillId="0" borderId="32" xfId="0" applyNumberFormat="1" applyFont="1" applyBorder="1" applyAlignment="1">
      <alignment/>
    </xf>
    <xf numFmtId="49" fontId="17" fillId="0" borderId="61" xfId="0" applyNumberFormat="1" applyFont="1" applyBorder="1" applyAlignment="1">
      <alignment/>
    </xf>
    <xf numFmtId="49" fontId="17" fillId="0" borderId="57" xfId="0" applyNumberFormat="1" applyFont="1" applyBorder="1" applyAlignment="1">
      <alignment/>
    </xf>
    <xf numFmtId="49" fontId="17" fillId="0" borderId="35" xfId="0" applyNumberFormat="1" applyFont="1" applyBorder="1" applyAlignment="1">
      <alignment horizontal="left"/>
    </xf>
    <xf numFmtId="164" fontId="13" fillId="0" borderId="57" xfId="0" applyNumberFormat="1" applyFont="1" applyBorder="1" applyAlignment="1">
      <alignment/>
    </xf>
    <xf numFmtId="49" fontId="17" fillId="0" borderId="17" xfId="0" applyNumberFormat="1" applyFont="1" applyBorder="1" applyAlignment="1">
      <alignment/>
    </xf>
    <xf numFmtId="174" fontId="15" fillId="0" borderId="25" xfId="60" applyNumberFormat="1" applyFont="1" applyBorder="1" applyAlignment="1">
      <alignment horizontal="center"/>
    </xf>
    <xf numFmtId="174" fontId="13" fillId="0" borderId="12" xfId="60" applyNumberFormat="1" applyFont="1" applyBorder="1" applyAlignment="1">
      <alignment/>
    </xf>
    <xf numFmtId="49" fontId="13" fillId="0" borderId="14" xfId="0" applyNumberFormat="1" applyFont="1" applyBorder="1" applyAlignment="1">
      <alignment horizontal="center"/>
    </xf>
    <xf numFmtId="174" fontId="13" fillId="0" borderId="51" xfId="60" applyNumberFormat="1" applyFont="1" applyBorder="1" applyAlignment="1">
      <alignment/>
    </xf>
    <xf numFmtId="174" fontId="13" fillId="0" borderId="25" xfId="60" applyNumberFormat="1" applyFont="1" applyBorder="1" applyAlignment="1">
      <alignment horizontal="left"/>
    </xf>
    <xf numFmtId="0" fontId="17" fillId="0" borderId="41" xfId="0" applyFont="1" applyFill="1" applyBorder="1" applyAlignment="1">
      <alignment wrapText="1"/>
    </xf>
    <xf numFmtId="0" fontId="17" fillId="0" borderId="18" xfId="0" applyFont="1" applyFill="1" applyBorder="1" applyAlignment="1">
      <alignment wrapText="1"/>
    </xf>
    <xf numFmtId="0" fontId="17" fillId="0" borderId="41" xfId="0" applyFont="1" applyBorder="1" applyAlignment="1">
      <alignment/>
    </xf>
    <xf numFmtId="49" fontId="13" fillId="0" borderId="3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38" xfId="0" applyNumberFormat="1" applyFont="1" applyFill="1" applyBorder="1" applyAlignment="1">
      <alignment wrapText="1"/>
    </xf>
    <xf numFmtId="0" fontId="17" fillId="0" borderId="49" xfId="0" applyFont="1" applyBorder="1" applyAlignment="1">
      <alignment wrapText="1"/>
    </xf>
    <xf numFmtId="0" fontId="15" fillId="0" borderId="38" xfId="0" applyFont="1" applyBorder="1" applyAlignment="1">
      <alignment/>
    </xf>
    <xf numFmtId="0" fontId="8" fillId="0" borderId="49" xfId="0" applyFont="1" applyBorder="1" applyAlignment="1">
      <alignment/>
    </xf>
    <xf numFmtId="49" fontId="13" fillId="0" borderId="38" xfId="0" applyNumberFormat="1" applyFont="1" applyBorder="1" applyAlignment="1">
      <alignment/>
    </xf>
    <xf numFmtId="49" fontId="13" fillId="0" borderId="54" xfId="0" applyNumberFormat="1" applyFont="1" applyBorder="1" applyAlignment="1">
      <alignment/>
    </xf>
    <xf numFmtId="0" fontId="8" fillId="0" borderId="48" xfId="0" applyFont="1" applyBorder="1" applyAlignment="1">
      <alignment/>
    </xf>
    <xf numFmtId="0" fontId="13" fillId="0" borderId="38" xfId="0" applyFont="1" applyBorder="1" applyAlignment="1">
      <alignment/>
    </xf>
    <xf numFmtId="49" fontId="14" fillId="0" borderId="38" xfId="0" applyNumberFormat="1" applyFont="1" applyBorder="1" applyAlignment="1">
      <alignment/>
    </xf>
    <xf numFmtId="0" fontId="15" fillId="0" borderId="49" xfId="0" applyFont="1" applyBorder="1" applyAlignment="1">
      <alignment/>
    </xf>
    <xf numFmtId="49" fontId="14" fillId="0" borderId="38" xfId="0" applyNumberFormat="1" applyFont="1" applyBorder="1" applyAlignment="1">
      <alignment wrapText="1"/>
    </xf>
    <xf numFmtId="0" fontId="15" fillId="0" borderId="49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4" fillId="0" borderId="38" xfId="0" applyFont="1" applyBorder="1" applyAlignment="1">
      <alignment/>
    </xf>
    <xf numFmtId="49" fontId="14" fillId="0" borderId="38" xfId="0" applyNumberFormat="1" applyFont="1" applyFill="1" applyBorder="1" applyAlignment="1">
      <alignment wrapText="1"/>
    </xf>
    <xf numFmtId="0" fontId="15" fillId="0" borderId="28" xfId="0" applyFont="1" applyBorder="1" applyAlignment="1">
      <alignment horizontal="center"/>
    </xf>
    <xf numFmtId="0" fontId="15" fillId="0" borderId="50" xfId="0" applyFont="1" applyBorder="1" applyAlignment="1">
      <alignment/>
    </xf>
    <xf numFmtId="0" fontId="17" fillId="0" borderId="38" xfId="0" applyFont="1" applyBorder="1" applyAlignment="1">
      <alignment horizontal="left"/>
    </xf>
    <xf numFmtId="0" fontId="17" fillId="0" borderId="4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1"/>
  <sheetViews>
    <sheetView zoomScale="70" zoomScaleNormal="70" zoomScalePageLayoutView="0" workbookViewId="0" topLeftCell="A1">
      <selection activeCell="L27" sqref="L27"/>
    </sheetView>
  </sheetViews>
  <sheetFormatPr defaultColWidth="8.796875" defaultRowHeight="15"/>
  <cols>
    <col min="1" max="1" width="56.69921875" style="16" customWidth="1"/>
    <col min="2" max="2" width="3.59765625" style="17" customWidth="1"/>
    <col min="3" max="3" width="3.5" style="17" customWidth="1"/>
    <col min="4" max="4" width="10.59765625" style="17" customWidth="1"/>
    <col min="5" max="5" width="4.09765625" style="17" customWidth="1"/>
    <col min="6" max="6" width="0.1015625" style="17" hidden="1" customWidth="1"/>
    <col min="7" max="7" width="15.59765625" style="19" customWidth="1"/>
    <col min="8" max="8" width="13.8984375" style="16" customWidth="1"/>
    <col min="9" max="9" width="8.69921875" style="5" customWidth="1"/>
    <col min="10" max="10" width="11.5" style="0" customWidth="1"/>
  </cols>
  <sheetData>
    <row r="2" spans="7:9" ht="15.75">
      <c r="G2" s="16"/>
      <c r="H2" s="6" t="s">
        <v>319</v>
      </c>
      <c r="I2"/>
    </row>
    <row r="3" spans="7:9" ht="15.75">
      <c r="G3" s="16"/>
      <c r="H3" s="6" t="s">
        <v>315</v>
      </c>
      <c r="I3"/>
    </row>
    <row r="4" spans="7:9" ht="15.75">
      <c r="G4" s="16"/>
      <c r="H4" s="6" t="s">
        <v>476</v>
      </c>
      <c r="I4"/>
    </row>
    <row r="5" spans="7:9" ht="15.75">
      <c r="G5" s="16"/>
      <c r="H5" s="6" t="s">
        <v>320</v>
      </c>
      <c r="I5"/>
    </row>
    <row r="6" spans="7:9" ht="15.75">
      <c r="G6" s="16"/>
      <c r="H6" s="6" t="s">
        <v>315</v>
      </c>
      <c r="I6"/>
    </row>
    <row r="7" spans="7:9" ht="15.75">
      <c r="G7" s="16"/>
      <c r="H7" s="6" t="s">
        <v>321</v>
      </c>
      <c r="I7"/>
    </row>
    <row r="8" ht="15.75">
      <c r="H8" s="6"/>
    </row>
    <row r="9" spans="1:9" s="122" customFormat="1" ht="15">
      <c r="A9" s="362" t="s">
        <v>235</v>
      </c>
      <c r="B9" s="362"/>
      <c r="C9" s="362"/>
      <c r="D9" s="362"/>
      <c r="E9" s="362"/>
      <c r="F9" s="362"/>
      <c r="G9" s="362"/>
      <c r="H9" s="362"/>
      <c r="I9" s="14"/>
    </row>
    <row r="10" spans="1:9" s="122" customFormat="1" ht="18.75" customHeight="1">
      <c r="A10" s="363" t="s">
        <v>219</v>
      </c>
      <c r="B10" s="363"/>
      <c r="C10" s="363"/>
      <c r="D10" s="363"/>
      <c r="E10" s="363"/>
      <c r="F10" s="363"/>
      <c r="G10" s="363"/>
      <c r="H10" s="363"/>
      <c r="I10" s="14"/>
    </row>
    <row r="11" spans="1:8" ht="18.75" customHeight="1" thickBot="1">
      <c r="A11" s="10"/>
      <c r="B11" s="10"/>
      <c r="C11" s="10"/>
      <c r="D11" s="10"/>
      <c r="E11" s="10"/>
      <c r="F11" s="10"/>
      <c r="G11" s="10"/>
      <c r="H11" s="11" t="s">
        <v>154</v>
      </c>
    </row>
    <row r="12" spans="1:9" s="4" customFormat="1" ht="16.5" thickBot="1">
      <c r="A12" s="366" t="s">
        <v>78</v>
      </c>
      <c r="B12" s="368" t="s">
        <v>110</v>
      </c>
      <c r="C12" s="368" t="s">
        <v>111</v>
      </c>
      <c r="D12" s="368" t="s">
        <v>112</v>
      </c>
      <c r="E12" s="369" t="s">
        <v>113</v>
      </c>
      <c r="F12" s="20"/>
      <c r="G12" s="371" t="s">
        <v>41</v>
      </c>
      <c r="H12" s="364" t="s">
        <v>194</v>
      </c>
      <c r="I12" s="5"/>
    </row>
    <row r="13" spans="1:9" s="4" customFormat="1" ht="74.25" customHeight="1" thickBot="1">
      <c r="A13" s="367"/>
      <c r="B13" s="367"/>
      <c r="C13" s="367"/>
      <c r="D13" s="367"/>
      <c r="E13" s="370"/>
      <c r="F13" s="21"/>
      <c r="G13" s="367"/>
      <c r="H13" s="365"/>
      <c r="I13" s="5"/>
    </row>
    <row r="14" spans="1:9" s="4" customFormat="1" ht="16.5" thickBot="1">
      <c r="A14" s="70" t="s">
        <v>13</v>
      </c>
      <c r="B14" s="20" t="s">
        <v>114</v>
      </c>
      <c r="C14" s="22"/>
      <c r="D14" s="22"/>
      <c r="E14" s="214"/>
      <c r="F14" s="20"/>
      <c r="G14" s="23">
        <f>G15+G48+G52+G27+G19+G43+G39</f>
        <v>191737</v>
      </c>
      <c r="H14" s="23">
        <f>H15+H48+H52+H27+H19+H43+H39</f>
        <v>9231</v>
      </c>
      <c r="I14" s="5"/>
    </row>
    <row r="15" spans="1:9" s="4" customFormat="1" ht="30">
      <c r="A15" s="24" t="s">
        <v>67</v>
      </c>
      <c r="B15" s="25" t="s">
        <v>114</v>
      </c>
      <c r="C15" s="26" t="s">
        <v>115</v>
      </c>
      <c r="D15" s="26"/>
      <c r="E15" s="215"/>
      <c r="F15" s="25"/>
      <c r="G15" s="27">
        <f aca="true" t="shared" si="0" ref="G15:H17">G16</f>
        <v>2825.2999999999997</v>
      </c>
      <c r="H15" s="27">
        <f t="shared" si="0"/>
        <v>0</v>
      </c>
      <c r="I15" s="5"/>
    </row>
    <row r="16" spans="1:9" s="4" customFormat="1" ht="42.75" customHeight="1">
      <c r="A16" s="115" t="s">
        <v>189</v>
      </c>
      <c r="B16" s="28" t="s">
        <v>114</v>
      </c>
      <c r="C16" s="29" t="s">
        <v>115</v>
      </c>
      <c r="D16" s="29" t="s">
        <v>157</v>
      </c>
      <c r="E16" s="131"/>
      <c r="F16" s="28"/>
      <c r="G16" s="30">
        <f t="shared" si="0"/>
        <v>2825.2999999999997</v>
      </c>
      <c r="H16" s="30">
        <f t="shared" si="0"/>
        <v>0</v>
      </c>
      <c r="I16" s="5"/>
    </row>
    <row r="17" spans="1:9" s="4" customFormat="1" ht="15.75">
      <c r="A17" s="116" t="s">
        <v>162</v>
      </c>
      <c r="B17" s="28" t="s">
        <v>114</v>
      </c>
      <c r="C17" s="29" t="s">
        <v>115</v>
      </c>
      <c r="D17" s="29" t="s">
        <v>163</v>
      </c>
      <c r="E17" s="131"/>
      <c r="F17" s="28"/>
      <c r="G17" s="30">
        <f t="shared" si="0"/>
        <v>2825.2999999999997</v>
      </c>
      <c r="H17" s="30">
        <f t="shared" si="0"/>
        <v>0</v>
      </c>
      <c r="I17" s="5"/>
    </row>
    <row r="18" spans="1:9" s="4" customFormat="1" ht="15.75">
      <c r="A18" s="117" t="s">
        <v>94</v>
      </c>
      <c r="B18" s="28" t="s">
        <v>114</v>
      </c>
      <c r="C18" s="29" t="s">
        <v>115</v>
      </c>
      <c r="D18" s="29" t="s">
        <v>163</v>
      </c>
      <c r="E18" s="131" t="s">
        <v>158</v>
      </c>
      <c r="F18" s="28"/>
      <c r="G18" s="30">
        <f>'Прилож №5'!H16</f>
        <v>2825.2999999999997</v>
      </c>
      <c r="H18" s="30">
        <f>'Прилож №5'!I16</f>
        <v>0</v>
      </c>
      <c r="I18" s="5"/>
    </row>
    <row r="19" spans="1:8" s="14" customFormat="1" ht="45">
      <c r="A19" s="24" t="s">
        <v>164</v>
      </c>
      <c r="B19" s="32" t="s">
        <v>114</v>
      </c>
      <c r="C19" s="33" t="s">
        <v>119</v>
      </c>
      <c r="D19" s="33"/>
      <c r="E19" s="154"/>
      <c r="F19" s="32"/>
      <c r="G19" s="34">
        <f>G20</f>
        <v>5109.2</v>
      </c>
      <c r="H19" s="34">
        <f>H20</f>
        <v>0</v>
      </c>
    </row>
    <row r="20" spans="1:9" s="4" customFormat="1" ht="43.5">
      <c r="A20" s="115" t="s">
        <v>161</v>
      </c>
      <c r="B20" s="28" t="s">
        <v>114</v>
      </c>
      <c r="C20" s="29" t="s">
        <v>119</v>
      </c>
      <c r="D20" s="29" t="s">
        <v>157</v>
      </c>
      <c r="E20" s="131"/>
      <c r="F20" s="28"/>
      <c r="G20" s="30">
        <f>G21+G23+G25</f>
        <v>5109.2</v>
      </c>
      <c r="H20" s="30">
        <f>H21+H23</f>
        <v>0</v>
      </c>
      <c r="I20" s="5"/>
    </row>
    <row r="21" spans="1:9" s="4" customFormat="1" ht="15.75">
      <c r="A21" s="117" t="s">
        <v>37</v>
      </c>
      <c r="B21" s="28" t="s">
        <v>114</v>
      </c>
      <c r="C21" s="29" t="s">
        <v>119</v>
      </c>
      <c r="D21" s="29" t="s">
        <v>159</v>
      </c>
      <c r="E21" s="131"/>
      <c r="F21" s="28"/>
      <c r="G21" s="30">
        <f>G22</f>
        <v>2709.2</v>
      </c>
      <c r="H21" s="30">
        <f>H22</f>
        <v>0</v>
      </c>
      <c r="I21" s="5"/>
    </row>
    <row r="22" spans="1:9" s="4" customFormat="1" ht="15.75">
      <c r="A22" s="117" t="s">
        <v>94</v>
      </c>
      <c r="B22" s="28" t="s">
        <v>114</v>
      </c>
      <c r="C22" s="29" t="s">
        <v>119</v>
      </c>
      <c r="D22" s="29" t="s">
        <v>159</v>
      </c>
      <c r="E22" s="131" t="s">
        <v>158</v>
      </c>
      <c r="F22" s="28"/>
      <c r="G22" s="30">
        <f>'Прилож №5'!H441</f>
        <v>2709.2</v>
      </c>
      <c r="H22" s="30">
        <f>'Прилож №5'!I441</f>
        <v>0</v>
      </c>
      <c r="I22" s="5"/>
    </row>
    <row r="23" spans="1:9" s="4" customFormat="1" ht="33.75" customHeight="1">
      <c r="A23" s="161" t="s">
        <v>239</v>
      </c>
      <c r="B23" s="28" t="s">
        <v>114</v>
      </c>
      <c r="C23" s="29" t="s">
        <v>119</v>
      </c>
      <c r="D23" s="29" t="s">
        <v>240</v>
      </c>
      <c r="E23" s="131"/>
      <c r="F23" s="28"/>
      <c r="G23" s="30">
        <f>G24</f>
        <v>3</v>
      </c>
      <c r="H23" s="30"/>
      <c r="I23" s="5"/>
    </row>
    <row r="24" spans="1:9" s="4" customFormat="1" ht="15.75">
      <c r="A24" s="117" t="s">
        <v>94</v>
      </c>
      <c r="B24" s="28" t="s">
        <v>114</v>
      </c>
      <c r="C24" s="29" t="s">
        <v>119</v>
      </c>
      <c r="D24" s="29" t="s">
        <v>240</v>
      </c>
      <c r="E24" s="131" t="s">
        <v>158</v>
      </c>
      <c r="F24" s="28"/>
      <c r="G24" s="30">
        <f>'Прилож №5'!H445</f>
        <v>3</v>
      </c>
      <c r="H24" s="30"/>
      <c r="I24" s="5"/>
    </row>
    <row r="25" spans="1:9" s="4" customFormat="1" ht="29.25">
      <c r="A25" s="116" t="s">
        <v>165</v>
      </c>
      <c r="B25" s="28" t="s">
        <v>114</v>
      </c>
      <c r="C25" s="29" t="s">
        <v>119</v>
      </c>
      <c r="D25" s="29" t="s">
        <v>166</v>
      </c>
      <c r="E25" s="131"/>
      <c r="F25" s="28"/>
      <c r="G25" s="30">
        <f>G26</f>
        <v>2397</v>
      </c>
      <c r="H25" s="30">
        <f>H26</f>
        <v>0</v>
      </c>
      <c r="I25" s="5"/>
    </row>
    <row r="26" spans="1:9" s="4" customFormat="1" ht="15.75">
      <c r="A26" s="117" t="s">
        <v>94</v>
      </c>
      <c r="B26" s="28" t="s">
        <v>114</v>
      </c>
      <c r="C26" s="29" t="s">
        <v>119</v>
      </c>
      <c r="D26" s="29" t="s">
        <v>166</v>
      </c>
      <c r="E26" s="131" t="s">
        <v>158</v>
      </c>
      <c r="F26" s="28"/>
      <c r="G26" s="30">
        <f>'Прилож №5'!H443</f>
        <v>2397</v>
      </c>
      <c r="H26" s="30">
        <f>'Прилож №5'!I443</f>
        <v>0</v>
      </c>
      <c r="I26" s="5"/>
    </row>
    <row r="27" spans="1:9" s="4" customFormat="1" ht="42" customHeight="1">
      <c r="A27" s="31" t="s">
        <v>68</v>
      </c>
      <c r="B27" s="32" t="s">
        <v>114</v>
      </c>
      <c r="C27" s="33" t="s">
        <v>116</v>
      </c>
      <c r="D27" s="33"/>
      <c r="E27" s="154"/>
      <c r="F27" s="32"/>
      <c r="G27" s="34">
        <f>G28</f>
        <v>103385.3</v>
      </c>
      <c r="H27" s="34">
        <f>H28</f>
        <v>9090</v>
      </c>
      <c r="I27" s="5"/>
    </row>
    <row r="28" spans="1:9" s="4" customFormat="1" ht="18.75" customHeight="1">
      <c r="A28" s="115" t="s">
        <v>95</v>
      </c>
      <c r="B28" s="28" t="s">
        <v>114</v>
      </c>
      <c r="C28" s="29" t="s">
        <v>116</v>
      </c>
      <c r="D28" s="29" t="s">
        <v>157</v>
      </c>
      <c r="E28" s="131"/>
      <c r="F28" s="28"/>
      <c r="G28" s="30">
        <f>G29+G37</f>
        <v>103385.3</v>
      </c>
      <c r="H28" s="30">
        <f>H29</f>
        <v>9090</v>
      </c>
      <c r="I28" s="5"/>
    </row>
    <row r="29" spans="1:9" s="4" customFormat="1" ht="15.75">
      <c r="A29" s="117" t="s">
        <v>37</v>
      </c>
      <c r="B29" s="28" t="s">
        <v>114</v>
      </c>
      <c r="C29" s="29" t="s">
        <v>116</v>
      </c>
      <c r="D29" s="29" t="s">
        <v>159</v>
      </c>
      <c r="E29" s="131"/>
      <c r="F29" s="28"/>
      <c r="G29" s="30">
        <f>G30+G32+G34+G36</f>
        <v>103202.3</v>
      </c>
      <c r="H29" s="30">
        <f>H30+H32+H34+H36</f>
        <v>9090</v>
      </c>
      <c r="I29" s="5"/>
    </row>
    <row r="30" spans="1:9" s="4" customFormat="1" ht="15.75">
      <c r="A30" s="117" t="s">
        <v>94</v>
      </c>
      <c r="B30" s="28" t="s">
        <v>114</v>
      </c>
      <c r="C30" s="29" t="s">
        <v>116</v>
      </c>
      <c r="D30" s="29" t="s">
        <v>159</v>
      </c>
      <c r="E30" s="131" t="s">
        <v>158</v>
      </c>
      <c r="F30" s="28"/>
      <c r="G30" s="30">
        <f>'Прилож №5'!H20</f>
        <v>94112.3</v>
      </c>
      <c r="H30" s="30">
        <f>'Прилож №5'!I20</f>
        <v>0</v>
      </c>
      <c r="I30" s="5"/>
    </row>
    <row r="31" spans="1:9" s="4" customFormat="1" ht="86.25">
      <c r="A31" s="111" t="s">
        <v>379</v>
      </c>
      <c r="B31" s="29" t="s">
        <v>114</v>
      </c>
      <c r="C31" s="84" t="s">
        <v>116</v>
      </c>
      <c r="D31" s="29" t="s">
        <v>340</v>
      </c>
      <c r="E31" s="28"/>
      <c r="F31" s="28"/>
      <c r="G31" s="30">
        <f>G32</f>
        <v>4539</v>
      </c>
      <c r="H31" s="30">
        <f>H32</f>
        <v>4539</v>
      </c>
      <c r="I31" s="5"/>
    </row>
    <row r="32" spans="1:9" s="4" customFormat="1" ht="15.75">
      <c r="A32" s="112" t="s">
        <v>312</v>
      </c>
      <c r="B32" s="29" t="s">
        <v>114</v>
      </c>
      <c r="C32" s="84" t="s">
        <v>116</v>
      </c>
      <c r="D32" s="29" t="s">
        <v>340</v>
      </c>
      <c r="E32" s="28" t="s">
        <v>313</v>
      </c>
      <c r="F32" s="28"/>
      <c r="G32" s="30">
        <f>'Прилож №5'!H22</f>
        <v>4539</v>
      </c>
      <c r="H32" s="30">
        <f>'Прилож №5'!I22</f>
        <v>4539</v>
      </c>
      <c r="I32" s="5"/>
    </row>
    <row r="33" spans="1:9" s="4" customFormat="1" ht="43.5">
      <c r="A33" s="111" t="s">
        <v>339</v>
      </c>
      <c r="B33" s="29" t="s">
        <v>114</v>
      </c>
      <c r="C33" s="84" t="s">
        <v>116</v>
      </c>
      <c r="D33" s="29" t="s">
        <v>338</v>
      </c>
      <c r="E33" s="28"/>
      <c r="F33" s="28"/>
      <c r="G33" s="30">
        <f>G34</f>
        <v>2651</v>
      </c>
      <c r="H33" s="30">
        <f>H34</f>
        <v>2651</v>
      </c>
      <c r="I33" s="5"/>
    </row>
    <row r="34" spans="1:9" s="4" customFormat="1" ht="15.75">
      <c r="A34" s="112" t="s">
        <v>312</v>
      </c>
      <c r="B34" s="29" t="s">
        <v>114</v>
      </c>
      <c r="C34" s="84" t="s">
        <v>116</v>
      </c>
      <c r="D34" s="29" t="s">
        <v>338</v>
      </c>
      <c r="E34" s="28" t="s">
        <v>313</v>
      </c>
      <c r="F34" s="28"/>
      <c r="G34" s="30">
        <f>'Прилож №5'!H24</f>
        <v>2651</v>
      </c>
      <c r="H34" s="30">
        <f>'Прилож №5'!I24</f>
        <v>2651</v>
      </c>
      <c r="I34" s="5"/>
    </row>
    <row r="35" spans="1:9" s="4" customFormat="1" ht="72">
      <c r="A35" s="111" t="s">
        <v>376</v>
      </c>
      <c r="B35" s="29" t="s">
        <v>114</v>
      </c>
      <c r="C35" s="84" t="s">
        <v>116</v>
      </c>
      <c r="D35" s="29" t="s">
        <v>337</v>
      </c>
      <c r="E35" s="28"/>
      <c r="F35" s="28"/>
      <c r="G35" s="30">
        <f>G36</f>
        <v>1900</v>
      </c>
      <c r="H35" s="30">
        <f>H36</f>
        <v>1900</v>
      </c>
      <c r="I35" s="5"/>
    </row>
    <row r="36" spans="1:9" s="4" customFormat="1" ht="15.75">
      <c r="A36" s="112" t="s">
        <v>312</v>
      </c>
      <c r="B36" s="29" t="s">
        <v>114</v>
      </c>
      <c r="C36" s="84" t="s">
        <v>116</v>
      </c>
      <c r="D36" s="29" t="s">
        <v>337</v>
      </c>
      <c r="E36" s="28" t="s">
        <v>313</v>
      </c>
      <c r="F36" s="28"/>
      <c r="G36" s="30">
        <f>'Прилож №5'!H26</f>
        <v>1900</v>
      </c>
      <c r="H36" s="30">
        <f>'Прилож №5'!I26</f>
        <v>1900</v>
      </c>
      <c r="I36" s="5"/>
    </row>
    <row r="37" spans="1:9" s="4" customFormat="1" ht="33.75" customHeight="1">
      <c r="A37" s="161" t="s">
        <v>239</v>
      </c>
      <c r="B37" s="28" t="s">
        <v>114</v>
      </c>
      <c r="C37" s="29" t="s">
        <v>116</v>
      </c>
      <c r="D37" s="29" t="s">
        <v>240</v>
      </c>
      <c r="E37" s="131"/>
      <c r="F37" s="28"/>
      <c r="G37" s="30">
        <f>G38</f>
        <v>183</v>
      </c>
      <c r="H37" s="30"/>
      <c r="I37" s="5"/>
    </row>
    <row r="38" spans="1:9" s="4" customFormat="1" ht="15.75">
      <c r="A38" s="117" t="s">
        <v>94</v>
      </c>
      <c r="B38" s="37" t="s">
        <v>114</v>
      </c>
      <c r="C38" s="29" t="s">
        <v>116</v>
      </c>
      <c r="D38" s="29" t="s">
        <v>240</v>
      </c>
      <c r="E38" s="131" t="s">
        <v>158</v>
      </c>
      <c r="F38" s="28"/>
      <c r="G38" s="30">
        <f>'Прилож №5'!H28</f>
        <v>183</v>
      </c>
      <c r="H38" s="30"/>
      <c r="I38" s="5"/>
    </row>
    <row r="39" spans="1:9" s="4" customFormat="1" ht="15.75">
      <c r="A39" s="15" t="s">
        <v>454</v>
      </c>
      <c r="B39" s="29" t="s">
        <v>114</v>
      </c>
      <c r="C39" s="84" t="s">
        <v>127</v>
      </c>
      <c r="D39" s="29"/>
      <c r="E39" s="28"/>
      <c r="F39" s="58"/>
      <c r="G39" s="30">
        <f aca="true" t="shared" si="1" ref="G39:H41">G40</f>
        <v>141</v>
      </c>
      <c r="H39" s="30">
        <f t="shared" si="1"/>
        <v>141</v>
      </c>
      <c r="I39" s="5"/>
    </row>
    <row r="40" spans="1:9" s="4" customFormat="1" ht="15.75">
      <c r="A40" s="112" t="s">
        <v>231</v>
      </c>
      <c r="B40" s="29" t="s">
        <v>114</v>
      </c>
      <c r="C40" s="84" t="s">
        <v>127</v>
      </c>
      <c r="D40" s="29" t="s">
        <v>232</v>
      </c>
      <c r="E40" s="28"/>
      <c r="F40" s="58"/>
      <c r="G40" s="30">
        <f t="shared" si="1"/>
        <v>141</v>
      </c>
      <c r="H40" s="30">
        <f t="shared" si="1"/>
        <v>141</v>
      </c>
      <c r="I40" s="5"/>
    </row>
    <row r="41" spans="1:9" s="4" customFormat="1" ht="43.5">
      <c r="A41" s="111" t="s">
        <v>455</v>
      </c>
      <c r="B41" s="29" t="s">
        <v>114</v>
      </c>
      <c r="C41" s="84" t="s">
        <v>127</v>
      </c>
      <c r="D41" s="29" t="s">
        <v>456</v>
      </c>
      <c r="E41" s="28"/>
      <c r="F41" s="58"/>
      <c r="G41" s="30">
        <f t="shared" si="1"/>
        <v>141</v>
      </c>
      <c r="H41" s="30">
        <f t="shared" si="1"/>
        <v>141</v>
      </c>
      <c r="I41" s="5"/>
    </row>
    <row r="42" spans="1:9" s="4" customFormat="1" ht="15.75">
      <c r="A42" s="112" t="s">
        <v>312</v>
      </c>
      <c r="B42" s="29" t="s">
        <v>114</v>
      </c>
      <c r="C42" s="84" t="s">
        <v>127</v>
      </c>
      <c r="D42" s="29" t="s">
        <v>456</v>
      </c>
      <c r="E42" s="28" t="s">
        <v>313</v>
      </c>
      <c r="F42" s="58" t="s">
        <v>158</v>
      </c>
      <c r="G42" s="30">
        <f>'Прилож №5'!H32</f>
        <v>141</v>
      </c>
      <c r="H42" s="30">
        <f>'Прилож №5'!I32</f>
        <v>141</v>
      </c>
      <c r="I42" s="5"/>
    </row>
    <row r="43" spans="1:9" s="4" customFormat="1" ht="45">
      <c r="A43" s="24" t="s">
        <v>183</v>
      </c>
      <c r="B43" s="36" t="s">
        <v>114</v>
      </c>
      <c r="C43" s="33" t="s">
        <v>130</v>
      </c>
      <c r="D43" s="33"/>
      <c r="E43" s="154"/>
      <c r="F43" s="32"/>
      <c r="G43" s="34">
        <f>G44+G46</f>
        <v>16720.5</v>
      </c>
      <c r="H43" s="34">
        <f>H44</f>
        <v>0</v>
      </c>
      <c r="I43" s="5"/>
    </row>
    <row r="44" spans="1:9" s="4" customFormat="1" ht="15.75">
      <c r="A44" s="117" t="s">
        <v>37</v>
      </c>
      <c r="B44" s="28" t="s">
        <v>114</v>
      </c>
      <c r="C44" s="29" t="s">
        <v>130</v>
      </c>
      <c r="D44" s="29" t="s">
        <v>159</v>
      </c>
      <c r="E44" s="131"/>
      <c r="F44" s="28"/>
      <c r="G44" s="30">
        <f>G45</f>
        <v>16670.5</v>
      </c>
      <c r="H44" s="30">
        <f>H45</f>
        <v>0</v>
      </c>
      <c r="I44" s="5"/>
    </row>
    <row r="45" spans="1:9" s="4" customFormat="1" ht="15.75">
      <c r="A45" s="117" t="s">
        <v>94</v>
      </c>
      <c r="B45" s="28" t="s">
        <v>114</v>
      </c>
      <c r="C45" s="29" t="s">
        <v>130</v>
      </c>
      <c r="D45" s="29" t="s">
        <v>159</v>
      </c>
      <c r="E45" s="131" t="s">
        <v>158</v>
      </c>
      <c r="F45" s="28"/>
      <c r="G45" s="30">
        <f>'Прилож №5'!H485+'Прилож №5'!H543</f>
        <v>16670.5</v>
      </c>
      <c r="H45" s="30"/>
      <c r="I45" s="5"/>
    </row>
    <row r="46" spans="1:9" s="4" customFormat="1" ht="31.5" customHeight="1">
      <c r="A46" s="179" t="s">
        <v>239</v>
      </c>
      <c r="B46" s="28" t="s">
        <v>114</v>
      </c>
      <c r="C46" s="29" t="s">
        <v>130</v>
      </c>
      <c r="D46" s="49" t="s">
        <v>240</v>
      </c>
      <c r="E46" s="131"/>
      <c r="F46" s="28"/>
      <c r="G46" s="30">
        <f>G47</f>
        <v>50</v>
      </c>
      <c r="H46" s="30"/>
      <c r="I46" s="5"/>
    </row>
    <row r="47" spans="1:9" s="4" customFormat="1" ht="15.75">
      <c r="A47" s="47" t="s">
        <v>94</v>
      </c>
      <c r="B47" s="28" t="s">
        <v>114</v>
      </c>
      <c r="C47" s="29" t="s">
        <v>130</v>
      </c>
      <c r="D47" s="49" t="s">
        <v>240</v>
      </c>
      <c r="E47" s="131" t="s">
        <v>158</v>
      </c>
      <c r="F47" s="28"/>
      <c r="G47" s="30">
        <f>'Прилож №5'!H487</f>
        <v>50</v>
      </c>
      <c r="H47" s="30"/>
      <c r="I47" s="5"/>
    </row>
    <row r="48" spans="1:9" s="4" customFormat="1" ht="15.75">
      <c r="A48" s="35" t="s">
        <v>12</v>
      </c>
      <c r="B48" s="32" t="s">
        <v>114</v>
      </c>
      <c r="C48" s="33" t="s">
        <v>196</v>
      </c>
      <c r="D48" s="59"/>
      <c r="E48" s="154"/>
      <c r="F48" s="32" t="s">
        <v>1</v>
      </c>
      <c r="G48" s="34">
        <f aca="true" t="shared" si="2" ref="G48:H50">G49</f>
        <v>5000</v>
      </c>
      <c r="H48" s="34">
        <f t="shared" si="2"/>
        <v>0</v>
      </c>
      <c r="I48" s="5"/>
    </row>
    <row r="49" spans="1:9" s="4" customFormat="1" ht="15.75">
      <c r="A49" s="118" t="s">
        <v>12</v>
      </c>
      <c r="B49" s="37" t="s">
        <v>114</v>
      </c>
      <c r="C49" s="38" t="s">
        <v>196</v>
      </c>
      <c r="D49" s="38" t="s">
        <v>15</v>
      </c>
      <c r="E49" s="131"/>
      <c r="F49" s="37"/>
      <c r="G49" s="39">
        <f t="shared" si="2"/>
        <v>5000</v>
      </c>
      <c r="H49" s="39">
        <f t="shared" si="2"/>
        <v>0</v>
      </c>
      <c r="I49" s="5"/>
    </row>
    <row r="50" spans="1:9" s="4" customFormat="1" ht="29.25">
      <c r="A50" s="115" t="s">
        <v>97</v>
      </c>
      <c r="B50" s="37" t="s">
        <v>114</v>
      </c>
      <c r="C50" s="38" t="s">
        <v>196</v>
      </c>
      <c r="D50" s="38" t="s">
        <v>98</v>
      </c>
      <c r="E50" s="131"/>
      <c r="F50" s="37"/>
      <c r="G50" s="39">
        <f t="shared" si="2"/>
        <v>5000</v>
      </c>
      <c r="H50" s="39">
        <f t="shared" si="2"/>
        <v>0</v>
      </c>
      <c r="I50" s="5"/>
    </row>
    <row r="51" spans="1:9" s="4" customFormat="1" ht="15.75">
      <c r="A51" s="117" t="s">
        <v>96</v>
      </c>
      <c r="B51" s="28" t="s">
        <v>114</v>
      </c>
      <c r="C51" s="29" t="s">
        <v>196</v>
      </c>
      <c r="D51" s="29" t="s">
        <v>98</v>
      </c>
      <c r="E51" s="131" t="s">
        <v>81</v>
      </c>
      <c r="F51" s="28"/>
      <c r="G51" s="30">
        <f>'Прилож №5'!H36</f>
        <v>5000</v>
      </c>
      <c r="H51" s="30">
        <f>'Прилож №5'!I36</f>
        <v>0</v>
      </c>
      <c r="I51" s="5"/>
    </row>
    <row r="52" spans="1:9" s="4" customFormat="1" ht="15.75">
      <c r="A52" s="35" t="s">
        <v>52</v>
      </c>
      <c r="B52" s="32" t="s">
        <v>114</v>
      </c>
      <c r="C52" s="33" t="s">
        <v>195</v>
      </c>
      <c r="D52" s="33"/>
      <c r="E52" s="154"/>
      <c r="F52" s="32"/>
      <c r="G52" s="34">
        <f>G53+G61+G58</f>
        <v>58555.700000000004</v>
      </c>
      <c r="H52" s="34">
        <f>H53+H61+H58</f>
        <v>0</v>
      </c>
      <c r="I52" s="5"/>
    </row>
    <row r="53" spans="1:9" s="4" customFormat="1" ht="43.5">
      <c r="A53" s="115" t="s">
        <v>161</v>
      </c>
      <c r="B53" s="28" t="s">
        <v>114</v>
      </c>
      <c r="C53" s="29" t="s">
        <v>195</v>
      </c>
      <c r="D53" s="29" t="s">
        <v>157</v>
      </c>
      <c r="E53" s="131"/>
      <c r="F53" s="28"/>
      <c r="G53" s="30">
        <f>G54+G56</f>
        <v>29650.4</v>
      </c>
      <c r="H53" s="30">
        <f>H54</f>
        <v>0</v>
      </c>
      <c r="I53" s="5"/>
    </row>
    <row r="54" spans="1:9" s="4" customFormat="1" ht="15.75">
      <c r="A54" s="47" t="s">
        <v>37</v>
      </c>
      <c r="B54" s="28" t="s">
        <v>114</v>
      </c>
      <c r="C54" s="29" t="s">
        <v>195</v>
      </c>
      <c r="D54" s="29" t="s">
        <v>159</v>
      </c>
      <c r="E54" s="131"/>
      <c r="F54" s="28"/>
      <c r="G54" s="30">
        <f>G55</f>
        <v>29575.4</v>
      </c>
      <c r="H54" s="30">
        <f>H55</f>
        <v>0</v>
      </c>
      <c r="I54" s="5"/>
    </row>
    <row r="55" spans="1:9" s="4" customFormat="1" ht="15.75">
      <c r="A55" s="117" t="s">
        <v>94</v>
      </c>
      <c r="B55" s="28" t="s">
        <v>114</v>
      </c>
      <c r="C55" s="29" t="s">
        <v>195</v>
      </c>
      <c r="D55" s="29" t="s">
        <v>159</v>
      </c>
      <c r="E55" s="131" t="s">
        <v>158</v>
      </c>
      <c r="F55" s="28"/>
      <c r="G55" s="30">
        <f>'Прилож №5'!H497+'Прилож №5'!H455</f>
        <v>29575.4</v>
      </c>
      <c r="H55" s="30">
        <f>'Прилож №5'!I497+'Прилож №5'!I455</f>
        <v>0</v>
      </c>
      <c r="I55" s="5"/>
    </row>
    <row r="56" spans="1:9" s="4" customFormat="1" ht="35.25" customHeight="1">
      <c r="A56" s="161" t="s">
        <v>239</v>
      </c>
      <c r="B56" s="28" t="s">
        <v>114</v>
      </c>
      <c r="C56" s="29" t="s">
        <v>195</v>
      </c>
      <c r="D56" s="29" t="s">
        <v>240</v>
      </c>
      <c r="E56" s="131"/>
      <c r="F56" s="28"/>
      <c r="G56" s="30">
        <f>G57</f>
        <v>75</v>
      </c>
      <c r="H56" s="30"/>
      <c r="I56" s="5"/>
    </row>
    <row r="57" spans="1:9" s="4" customFormat="1" ht="15.75">
      <c r="A57" s="117" t="s">
        <v>94</v>
      </c>
      <c r="B57" s="28" t="s">
        <v>114</v>
      </c>
      <c r="C57" s="29" t="s">
        <v>195</v>
      </c>
      <c r="D57" s="29" t="s">
        <v>240</v>
      </c>
      <c r="E57" s="131" t="s">
        <v>158</v>
      </c>
      <c r="F57" s="28"/>
      <c r="G57" s="30">
        <f>'Прилож №5'!H499+'Прилож №5'!H457</f>
        <v>75</v>
      </c>
      <c r="H57" s="30"/>
      <c r="I57" s="5"/>
    </row>
    <row r="58" spans="1:9" s="4" customFormat="1" ht="29.25">
      <c r="A58" s="115" t="s">
        <v>129</v>
      </c>
      <c r="B58" s="29" t="s">
        <v>114</v>
      </c>
      <c r="C58" s="28" t="s">
        <v>195</v>
      </c>
      <c r="D58" s="29" t="s">
        <v>87</v>
      </c>
      <c r="E58" s="28"/>
      <c r="F58" s="58"/>
      <c r="G58" s="30">
        <f>G59</f>
        <v>2935</v>
      </c>
      <c r="H58" s="30"/>
      <c r="I58" s="5"/>
    </row>
    <row r="59" spans="1:9" s="4" customFormat="1" ht="15.75">
      <c r="A59" s="118" t="s">
        <v>49</v>
      </c>
      <c r="B59" s="29" t="s">
        <v>114</v>
      </c>
      <c r="C59" s="28" t="s">
        <v>195</v>
      </c>
      <c r="D59" s="29" t="s">
        <v>128</v>
      </c>
      <c r="E59" s="28"/>
      <c r="F59" s="58"/>
      <c r="G59" s="30">
        <f>G60</f>
        <v>2935</v>
      </c>
      <c r="H59" s="30"/>
      <c r="I59" s="5"/>
    </row>
    <row r="60" spans="1:9" s="4" customFormat="1" ht="15.75">
      <c r="A60" s="47" t="s">
        <v>94</v>
      </c>
      <c r="B60" s="38" t="s">
        <v>114</v>
      </c>
      <c r="C60" s="37" t="s">
        <v>195</v>
      </c>
      <c r="D60" s="38" t="s">
        <v>128</v>
      </c>
      <c r="E60" s="37" t="s">
        <v>158</v>
      </c>
      <c r="F60" s="69" t="s">
        <v>158</v>
      </c>
      <c r="G60" s="30">
        <f>'Прилож №5'!H502+'Прилож №5'!H39</f>
        <v>2935</v>
      </c>
      <c r="H60" s="30"/>
      <c r="I60" s="5"/>
    </row>
    <row r="61" spans="1:9" s="4" customFormat="1" ht="15.75">
      <c r="A61" s="108" t="s">
        <v>83</v>
      </c>
      <c r="B61" s="38" t="s">
        <v>114</v>
      </c>
      <c r="C61" s="37" t="s">
        <v>195</v>
      </c>
      <c r="D61" s="38" t="s">
        <v>84</v>
      </c>
      <c r="E61" s="131"/>
      <c r="F61" s="56"/>
      <c r="G61" s="30">
        <f>G63+G65</f>
        <v>25970.300000000003</v>
      </c>
      <c r="H61" s="30">
        <f>H63+H65</f>
        <v>0</v>
      </c>
      <c r="I61" s="7"/>
    </row>
    <row r="62" spans="1:9" s="4" customFormat="1" ht="43.5">
      <c r="A62" s="110" t="s">
        <v>208</v>
      </c>
      <c r="B62" s="29" t="s">
        <v>114</v>
      </c>
      <c r="C62" s="28" t="s">
        <v>195</v>
      </c>
      <c r="D62" s="38" t="s">
        <v>136</v>
      </c>
      <c r="E62" s="131"/>
      <c r="F62" s="56"/>
      <c r="G62" s="30">
        <f>G63</f>
        <v>18830.300000000003</v>
      </c>
      <c r="H62" s="30">
        <f>H63</f>
        <v>0</v>
      </c>
      <c r="I62" s="7"/>
    </row>
    <row r="63" spans="1:9" s="4" customFormat="1" ht="15.75">
      <c r="A63" s="108" t="s">
        <v>94</v>
      </c>
      <c r="B63" s="29" t="s">
        <v>114</v>
      </c>
      <c r="C63" s="28" t="s">
        <v>195</v>
      </c>
      <c r="D63" s="38" t="s">
        <v>136</v>
      </c>
      <c r="E63" s="156" t="s">
        <v>158</v>
      </c>
      <c r="F63" s="56" t="s">
        <v>158</v>
      </c>
      <c r="G63" s="30">
        <f>'Прилож №5'!H42+'Прилож №5'!H491+'Прилож №5'!H505+'Прилож №5'!H449+'Прилож №5'!H460+'Прилож №5'!H548</f>
        <v>18830.300000000003</v>
      </c>
      <c r="H63" s="30">
        <f>'Прилож №5'!I42+'Прилож №5'!I491+'Прилож №5'!I505+'Прилож №5'!I449+'Прилож №5'!I460</f>
        <v>0</v>
      </c>
      <c r="I63" s="7"/>
    </row>
    <row r="64" spans="1:9" s="4" customFormat="1" ht="85.5">
      <c r="A64" s="220" t="s">
        <v>209</v>
      </c>
      <c r="B64" s="29" t="s">
        <v>114</v>
      </c>
      <c r="C64" s="28" t="s">
        <v>195</v>
      </c>
      <c r="D64" s="38" t="s">
        <v>210</v>
      </c>
      <c r="E64" s="131"/>
      <c r="F64" s="56"/>
      <c r="G64" s="30">
        <f>G65</f>
        <v>7140</v>
      </c>
      <c r="H64" s="30">
        <f>H65</f>
        <v>0</v>
      </c>
      <c r="I64" s="7"/>
    </row>
    <row r="65" spans="1:9" s="4" customFormat="1" ht="16.5" thickBot="1">
      <c r="A65" s="109" t="s">
        <v>94</v>
      </c>
      <c r="B65" s="38" t="s">
        <v>114</v>
      </c>
      <c r="C65" s="37" t="s">
        <v>195</v>
      </c>
      <c r="D65" s="38" t="s">
        <v>210</v>
      </c>
      <c r="E65" s="187" t="s">
        <v>158</v>
      </c>
      <c r="F65" s="157" t="s">
        <v>158</v>
      </c>
      <c r="G65" s="39">
        <f>'Прилож №5'!H44+'Прилож №5'!H462</f>
        <v>7140</v>
      </c>
      <c r="H65" s="39">
        <f>'Прилож №5'!I44</f>
        <v>0</v>
      </c>
      <c r="I65" s="7"/>
    </row>
    <row r="66" spans="1:9" s="4" customFormat="1" ht="16.5" thickBot="1">
      <c r="A66" s="51" t="s">
        <v>53</v>
      </c>
      <c r="B66" s="22" t="s">
        <v>115</v>
      </c>
      <c r="C66" s="22"/>
      <c r="D66" s="20"/>
      <c r="E66" s="22"/>
      <c r="F66" s="20"/>
      <c r="G66" s="119">
        <f>G71+G67</f>
        <v>4519</v>
      </c>
      <c r="H66" s="23">
        <f>H71+H67</f>
        <v>4096</v>
      </c>
      <c r="I66" s="5"/>
    </row>
    <row r="67" spans="1:9" s="4" customFormat="1" ht="15.75">
      <c r="A67" s="112" t="s">
        <v>377</v>
      </c>
      <c r="B67" s="49" t="s">
        <v>115</v>
      </c>
      <c r="C67" s="49" t="s">
        <v>119</v>
      </c>
      <c r="D67" s="48"/>
      <c r="E67" s="59"/>
      <c r="F67" s="265"/>
      <c r="G67" s="256">
        <f aca="true" t="shared" si="3" ref="G67:H69">G68</f>
        <v>4096</v>
      </c>
      <c r="H67" s="50">
        <f t="shared" si="3"/>
        <v>4096</v>
      </c>
      <c r="I67" s="5"/>
    </row>
    <row r="68" spans="1:9" s="4" customFormat="1" ht="15.75">
      <c r="A68" s="110" t="s">
        <v>231</v>
      </c>
      <c r="B68" s="29" t="s">
        <v>115</v>
      </c>
      <c r="C68" s="29" t="s">
        <v>119</v>
      </c>
      <c r="D68" s="28" t="s">
        <v>232</v>
      </c>
      <c r="E68" s="33"/>
      <c r="F68" s="263"/>
      <c r="G68" s="257">
        <f t="shared" si="3"/>
        <v>4096</v>
      </c>
      <c r="H68" s="30">
        <f t="shared" si="3"/>
        <v>4096</v>
      </c>
      <c r="I68" s="5"/>
    </row>
    <row r="69" spans="1:9" s="4" customFormat="1" ht="29.25">
      <c r="A69" s="110" t="s">
        <v>238</v>
      </c>
      <c r="B69" s="29" t="s">
        <v>115</v>
      </c>
      <c r="C69" s="29" t="s">
        <v>119</v>
      </c>
      <c r="D69" s="28" t="s">
        <v>237</v>
      </c>
      <c r="E69" s="33"/>
      <c r="F69" s="263"/>
      <c r="G69" s="257">
        <f t="shared" si="3"/>
        <v>4096</v>
      </c>
      <c r="H69" s="30">
        <f t="shared" si="3"/>
        <v>4096</v>
      </c>
      <c r="I69" s="5"/>
    </row>
    <row r="70" spans="1:9" s="4" customFormat="1" ht="15.75">
      <c r="A70" s="112" t="s">
        <v>312</v>
      </c>
      <c r="B70" s="29" t="s">
        <v>115</v>
      </c>
      <c r="C70" s="29" t="s">
        <v>119</v>
      </c>
      <c r="D70" s="28" t="s">
        <v>237</v>
      </c>
      <c r="E70" s="29" t="s">
        <v>313</v>
      </c>
      <c r="F70" s="263"/>
      <c r="G70" s="257">
        <f>'Прилож №5'!H49</f>
        <v>4096</v>
      </c>
      <c r="H70" s="30">
        <v>4096</v>
      </c>
      <c r="I70" s="5"/>
    </row>
    <row r="71" spans="1:9" s="4" customFormat="1" ht="15.75">
      <c r="A71" s="15" t="s">
        <v>54</v>
      </c>
      <c r="B71" s="59" t="s">
        <v>115</v>
      </c>
      <c r="C71" s="59" t="s">
        <v>116</v>
      </c>
      <c r="D71" s="36"/>
      <c r="E71" s="59"/>
      <c r="F71" s="36"/>
      <c r="G71" s="264">
        <f aca="true" t="shared" si="4" ref="G71:H73">G72</f>
        <v>423</v>
      </c>
      <c r="H71" s="61">
        <f t="shared" si="4"/>
        <v>0</v>
      </c>
      <c r="I71" s="5"/>
    </row>
    <row r="72" spans="1:9" s="4" customFormat="1" ht="29.25">
      <c r="A72" s="110" t="s">
        <v>69</v>
      </c>
      <c r="B72" s="29" t="s">
        <v>115</v>
      </c>
      <c r="C72" s="29" t="s">
        <v>116</v>
      </c>
      <c r="D72" s="28" t="s">
        <v>55</v>
      </c>
      <c r="E72" s="29"/>
      <c r="F72" s="28"/>
      <c r="G72" s="121">
        <f t="shared" si="4"/>
        <v>423</v>
      </c>
      <c r="H72" s="30">
        <f t="shared" si="4"/>
        <v>0</v>
      </c>
      <c r="I72" s="5"/>
    </row>
    <row r="73" spans="1:9" s="4" customFormat="1" ht="37.5" customHeight="1">
      <c r="A73" s="110" t="s">
        <v>70</v>
      </c>
      <c r="B73" s="29" t="s">
        <v>115</v>
      </c>
      <c r="C73" s="29" t="s">
        <v>116</v>
      </c>
      <c r="D73" s="28" t="s">
        <v>99</v>
      </c>
      <c r="E73" s="29"/>
      <c r="F73" s="43"/>
      <c r="G73" s="165">
        <f t="shared" si="4"/>
        <v>423</v>
      </c>
      <c r="H73" s="39">
        <f t="shared" si="4"/>
        <v>0</v>
      </c>
      <c r="I73" s="5"/>
    </row>
    <row r="74" spans="1:9" s="4" customFormat="1" ht="15" customHeight="1" thickBot="1">
      <c r="A74" s="112" t="s">
        <v>94</v>
      </c>
      <c r="B74" s="41" t="s">
        <v>115</v>
      </c>
      <c r="C74" s="41" t="s">
        <v>116</v>
      </c>
      <c r="D74" s="37" t="s">
        <v>99</v>
      </c>
      <c r="E74" s="41" t="s">
        <v>158</v>
      </c>
      <c r="F74" s="43"/>
      <c r="G74" s="165">
        <f>'Прилож №5'!H53</f>
        <v>423</v>
      </c>
      <c r="H74" s="42">
        <f>'Прилож №5'!I53</f>
        <v>0</v>
      </c>
      <c r="I74" s="5"/>
    </row>
    <row r="75" spans="1:9" s="13" customFormat="1" ht="32.25" customHeight="1" thickBot="1">
      <c r="A75" s="104" t="s">
        <v>76</v>
      </c>
      <c r="B75" s="44" t="s">
        <v>119</v>
      </c>
      <c r="C75" s="44"/>
      <c r="D75" s="44"/>
      <c r="E75" s="214"/>
      <c r="F75" s="45" t="s">
        <v>2</v>
      </c>
      <c r="G75" s="46">
        <f>G76+G80</f>
        <v>6578</v>
      </c>
      <c r="H75" s="46">
        <f>H76+H80</f>
        <v>0</v>
      </c>
      <c r="I75" s="7"/>
    </row>
    <row r="76" spans="1:9" s="4" customFormat="1" ht="36.75" customHeight="1">
      <c r="A76" s="71" t="s">
        <v>101</v>
      </c>
      <c r="B76" s="33" t="s">
        <v>119</v>
      </c>
      <c r="C76" s="33" t="s">
        <v>120</v>
      </c>
      <c r="D76" s="33"/>
      <c r="E76" s="215"/>
      <c r="F76" s="32"/>
      <c r="G76" s="34">
        <f>G79</f>
        <v>1954</v>
      </c>
      <c r="H76" s="34">
        <f>H79</f>
        <v>0</v>
      </c>
      <c r="I76" s="5"/>
    </row>
    <row r="77" spans="1:9" s="4" customFormat="1" ht="27" customHeight="1">
      <c r="A77" s="111" t="s">
        <v>88</v>
      </c>
      <c r="B77" s="49" t="s">
        <v>119</v>
      </c>
      <c r="C77" s="49" t="s">
        <v>120</v>
      </c>
      <c r="D77" s="49" t="s">
        <v>89</v>
      </c>
      <c r="E77" s="131"/>
      <c r="F77" s="48"/>
      <c r="G77" s="50">
        <f>G78</f>
        <v>1954</v>
      </c>
      <c r="H77" s="50">
        <f>H78</f>
        <v>0</v>
      </c>
      <c r="I77" s="5"/>
    </row>
    <row r="78" spans="1:9" s="4" customFormat="1" ht="51" customHeight="1">
      <c r="A78" s="111" t="s">
        <v>90</v>
      </c>
      <c r="B78" s="49" t="s">
        <v>119</v>
      </c>
      <c r="C78" s="49" t="s">
        <v>120</v>
      </c>
      <c r="D78" s="49" t="s">
        <v>102</v>
      </c>
      <c r="E78" s="131"/>
      <c r="F78" s="48"/>
      <c r="G78" s="50">
        <f>G79</f>
        <v>1954</v>
      </c>
      <c r="H78" s="50">
        <f>H79</f>
        <v>0</v>
      </c>
      <c r="I78" s="5"/>
    </row>
    <row r="79" spans="1:9" s="4" customFormat="1" ht="18" customHeight="1">
      <c r="A79" s="108" t="s">
        <v>94</v>
      </c>
      <c r="B79" s="29" t="s">
        <v>119</v>
      </c>
      <c r="C79" s="29" t="s">
        <v>120</v>
      </c>
      <c r="D79" s="29" t="s">
        <v>102</v>
      </c>
      <c r="E79" s="131" t="s">
        <v>158</v>
      </c>
      <c r="F79" s="28"/>
      <c r="G79" s="30">
        <f>'Прилож №5'!H58</f>
        <v>1954</v>
      </c>
      <c r="H79" s="30">
        <f>'Прилож №5'!I58</f>
        <v>0</v>
      </c>
      <c r="I79" s="5"/>
    </row>
    <row r="80" spans="1:9" s="4" customFormat="1" ht="30">
      <c r="A80" s="71" t="s">
        <v>71</v>
      </c>
      <c r="B80" s="33" t="s">
        <v>119</v>
      </c>
      <c r="C80" s="33" t="s">
        <v>118</v>
      </c>
      <c r="D80" s="33"/>
      <c r="E80" s="154"/>
      <c r="F80" s="32"/>
      <c r="G80" s="34">
        <f>G82+G85</f>
        <v>4624</v>
      </c>
      <c r="H80" s="34">
        <f>H81</f>
        <v>0</v>
      </c>
      <c r="I80" s="5"/>
    </row>
    <row r="81" spans="1:9" s="4" customFormat="1" ht="13.5" customHeight="1">
      <c r="A81" s="109" t="s">
        <v>83</v>
      </c>
      <c r="B81" s="29" t="s">
        <v>119</v>
      </c>
      <c r="C81" s="29" t="s">
        <v>118</v>
      </c>
      <c r="D81" s="29" t="s">
        <v>84</v>
      </c>
      <c r="E81" s="131"/>
      <c r="F81" s="28"/>
      <c r="G81" s="30">
        <f>G84+G86</f>
        <v>4074</v>
      </c>
      <c r="H81" s="30">
        <f>H82</f>
        <v>0</v>
      </c>
      <c r="I81" s="7"/>
    </row>
    <row r="82" spans="1:9" s="4" customFormat="1" ht="54.75" customHeight="1">
      <c r="A82" s="211" t="s">
        <v>254</v>
      </c>
      <c r="B82" s="29" t="s">
        <v>119</v>
      </c>
      <c r="C82" s="131" t="s">
        <v>118</v>
      </c>
      <c r="D82" s="38" t="s">
        <v>150</v>
      </c>
      <c r="E82" s="131"/>
      <c r="F82" s="28"/>
      <c r="G82" s="50">
        <f>G83+G84</f>
        <v>2612</v>
      </c>
      <c r="H82" s="193">
        <f>'Прилож №5'!I61</f>
        <v>0</v>
      </c>
      <c r="I82" s="7"/>
    </row>
    <row r="83" spans="1:9" s="4" customFormat="1" ht="18" customHeight="1">
      <c r="A83" s="108" t="s">
        <v>155</v>
      </c>
      <c r="B83" s="38" t="s">
        <v>119</v>
      </c>
      <c r="C83" s="37" t="s">
        <v>118</v>
      </c>
      <c r="D83" s="38" t="s">
        <v>150</v>
      </c>
      <c r="E83" s="156" t="s">
        <v>156</v>
      </c>
      <c r="F83" s="37"/>
      <c r="G83" s="68">
        <f>'Прилож №5'!H255</f>
        <v>550</v>
      </c>
      <c r="H83" s="196"/>
      <c r="I83" s="7"/>
    </row>
    <row r="84" spans="1:9" s="4" customFormat="1" ht="14.25" customHeight="1">
      <c r="A84" s="108" t="s">
        <v>94</v>
      </c>
      <c r="B84" s="38" t="s">
        <v>119</v>
      </c>
      <c r="C84" s="37" t="s">
        <v>118</v>
      </c>
      <c r="D84" s="38" t="s">
        <v>150</v>
      </c>
      <c r="E84" s="156" t="s">
        <v>158</v>
      </c>
      <c r="F84" s="37"/>
      <c r="G84" s="39">
        <f>'Прилож №5'!H62+'Прилож №5'!H467</f>
        <v>2062</v>
      </c>
      <c r="H84" s="196"/>
      <c r="I84" s="7"/>
    </row>
    <row r="85" spans="1:9" s="4" customFormat="1" ht="51.75" customHeight="1">
      <c r="A85" s="115" t="s">
        <v>263</v>
      </c>
      <c r="B85" s="38" t="s">
        <v>119</v>
      </c>
      <c r="C85" s="37" t="s">
        <v>118</v>
      </c>
      <c r="D85" s="38" t="s">
        <v>207</v>
      </c>
      <c r="E85" s="156"/>
      <c r="F85" s="37"/>
      <c r="G85" s="39">
        <f>G86</f>
        <v>2012</v>
      </c>
      <c r="H85" s="196"/>
      <c r="I85" s="7"/>
    </row>
    <row r="86" spans="1:9" s="4" customFormat="1" ht="15" customHeight="1" thickBot="1">
      <c r="A86" s="213" t="s">
        <v>94</v>
      </c>
      <c r="B86" s="41" t="s">
        <v>119</v>
      </c>
      <c r="C86" s="40" t="s">
        <v>118</v>
      </c>
      <c r="D86" s="41" t="s">
        <v>207</v>
      </c>
      <c r="E86" s="187" t="s">
        <v>158</v>
      </c>
      <c r="F86" s="40"/>
      <c r="G86" s="42">
        <f>'Прилож №5'!H64</f>
        <v>2012</v>
      </c>
      <c r="H86" s="221">
        <f>'Прилож №5'!I64</f>
        <v>0</v>
      </c>
      <c r="I86" s="7"/>
    </row>
    <row r="87" spans="1:9" s="4" customFormat="1" ht="16.5" thickBot="1">
      <c r="A87" s="212" t="s">
        <v>42</v>
      </c>
      <c r="B87" s="202" t="s">
        <v>116</v>
      </c>
      <c r="C87" s="202"/>
      <c r="D87" s="202"/>
      <c r="E87" s="195"/>
      <c r="F87" s="205"/>
      <c r="G87" s="203">
        <f>G88+G93+G104</f>
        <v>140499.6</v>
      </c>
      <c r="H87" s="203">
        <f>H88+H93+H104</f>
        <v>40000</v>
      </c>
      <c r="I87" s="5"/>
    </row>
    <row r="88" spans="1:9" s="2" customFormat="1" ht="15.75" customHeight="1">
      <c r="A88" s="53" t="s">
        <v>65</v>
      </c>
      <c r="B88" s="33" t="s">
        <v>116</v>
      </c>
      <c r="C88" s="85" t="s">
        <v>123</v>
      </c>
      <c r="D88" s="26"/>
      <c r="E88" s="155"/>
      <c r="F88" s="32"/>
      <c r="G88" s="34">
        <f>G89</f>
        <v>15500</v>
      </c>
      <c r="H88" s="34">
        <f>H89</f>
        <v>0</v>
      </c>
      <c r="I88" s="8"/>
    </row>
    <row r="89" spans="1:9" s="1" customFormat="1" ht="15.75" customHeight="1">
      <c r="A89" s="108" t="s">
        <v>104</v>
      </c>
      <c r="B89" s="29" t="s">
        <v>116</v>
      </c>
      <c r="C89" s="84" t="s">
        <v>123</v>
      </c>
      <c r="D89" s="29" t="s">
        <v>105</v>
      </c>
      <c r="E89" s="131"/>
      <c r="F89" s="28"/>
      <c r="G89" s="30">
        <f aca="true" t="shared" si="5" ref="G89:H91">G90</f>
        <v>15500</v>
      </c>
      <c r="H89" s="30">
        <f t="shared" si="5"/>
        <v>0</v>
      </c>
      <c r="I89" s="5"/>
    </row>
    <row r="90" spans="1:9" s="1" customFormat="1" ht="15.75" customHeight="1">
      <c r="A90" s="108" t="s">
        <v>106</v>
      </c>
      <c r="B90" s="29" t="s">
        <v>116</v>
      </c>
      <c r="C90" s="84" t="s">
        <v>123</v>
      </c>
      <c r="D90" s="29" t="s">
        <v>107</v>
      </c>
      <c r="E90" s="131"/>
      <c r="F90" s="28"/>
      <c r="G90" s="30">
        <f t="shared" si="5"/>
        <v>15500</v>
      </c>
      <c r="H90" s="30">
        <f t="shared" si="5"/>
        <v>0</v>
      </c>
      <c r="I90" s="5"/>
    </row>
    <row r="91" spans="1:9" s="1" customFormat="1" ht="49.5" customHeight="1">
      <c r="A91" s="110" t="s">
        <v>108</v>
      </c>
      <c r="B91" s="29" t="s">
        <v>116</v>
      </c>
      <c r="C91" s="84" t="s">
        <v>123</v>
      </c>
      <c r="D91" s="29" t="s">
        <v>109</v>
      </c>
      <c r="E91" s="131"/>
      <c r="F91" s="28"/>
      <c r="G91" s="30">
        <f t="shared" si="5"/>
        <v>15500</v>
      </c>
      <c r="H91" s="30">
        <f t="shared" si="5"/>
        <v>0</v>
      </c>
      <c r="I91" s="5"/>
    </row>
    <row r="92" spans="1:9" s="1" customFormat="1" ht="15.75" customHeight="1">
      <c r="A92" s="117" t="s">
        <v>94</v>
      </c>
      <c r="B92" s="29" t="s">
        <v>116</v>
      </c>
      <c r="C92" s="84" t="s">
        <v>123</v>
      </c>
      <c r="D92" s="29" t="s">
        <v>109</v>
      </c>
      <c r="E92" s="131" t="s">
        <v>158</v>
      </c>
      <c r="F92" s="28"/>
      <c r="G92" s="30">
        <f>'Прилож №5'!H70</f>
        <v>15500</v>
      </c>
      <c r="H92" s="30">
        <f>'Прилож №5'!I70</f>
        <v>0</v>
      </c>
      <c r="I92" s="5"/>
    </row>
    <row r="93" spans="1:9" s="2" customFormat="1" ht="15.75" customHeight="1">
      <c r="A93" s="15" t="s">
        <v>66</v>
      </c>
      <c r="B93" s="33" t="s">
        <v>116</v>
      </c>
      <c r="C93" s="85" t="s">
        <v>120</v>
      </c>
      <c r="D93" s="33"/>
      <c r="E93" s="154"/>
      <c r="F93" s="32"/>
      <c r="G93" s="34">
        <f>G94+G98</f>
        <v>62145</v>
      </c>
      <c r="H93" s="34">
        <f>H94+H98</f>
        <v>40000</v>
      </c>
      <c r="I93" s="5"/>
    </row>
    <row r="94" spans="1:9" s="1" customFormat="1" ht="15.75" customHeight="1">
      <c r="A94" s="112" t="s">
        <v>66</v>
      </c>
      <c r="B94" s="29" t="s">
        <v>116</v>
      </c>
      <c r="C94" s="84" t="s">
        <v>120</v>
      </c>
      <c r="D94" s="29" t="s">
        <v>124</v>
      </c>
      <c r="E94" s="131"/>
      <c r="F94" s="28"/>
      <c r="G94" s="30">
        <f>G95</f>
        <v>22145</v>
      </c>
      <c r="H94" s="30">
        <f>H95</f>
        <v>0</v>
      </c>
      <c r="I94" s="5"/>
    </row>
    <row r="95" spans="1:9" s="1" customFormat="1" ht="15.75" customHeight="1">
      <c r="A95" s="112" t="s">
        <v>125</v>
      </c>
      <c r="B95" s="29" t="s">
        <v>116</v>
      </c>
      <c r="C95" s="84" t="s">
        <v>120</v>
      </c>
      <c r="D95" s="29" t="s">
        <v>126</v>
      </c>
      <c r="E95" s="131"/>
      <c r="F95" s="28"/>
      <c r="G95" s="30">
        <f>G96</f>
        <v>22145</v>
      </c>
      <c r="H95" s="30">
        <f>H97</f>
        <v>0</v>
      </c>
      <c r="I95" s="5"/>
    </row>
    <row r="96" spans="1:9" s="1" customFormat="1" ht="15.75" customHeight="1">
      <c r="A96" s="112" t="s">
        <v>167</v>
      </c>
      <c r="B96" s="29" t="s">
        <v>116</v>
      </c>
      <c r="C96" s="84" t="s">
        <v>120</v>
      </c>
      <c r="D96" s="29" t="s">
        <v>168</v>
      </c>
      <c r="E96" s="131"/>
      <c r="F96" s="28"/>
      <c r="G96" s="30">
        <f>G97</f>
        <v>22145</v>
      </c>
      <c r="H96" s="30">
        <f>H97</f>
        <v>0</v>
      </c>
      <c r="I96" s="5"/>
    </row>
    <row r="97" spans="1:9" s="1" customFormat="1" ht="15.75" customHeight="1">
      <c r="A97" s="117" t="s">
        <v>94</v>
      </c>
      <c r="B97" s="29" t="s">
        <v>116</v>
      </c>
      <c r="C97" s="84" t="s">
        <v>120</v>
      </c>
      <c r="D97" s="29" t="s">
        <v>168</v>
      </c>
      <c r="E97" s="131" t="s">
        <v>158</v>
      </c>
      <c r="F97" s="28"/>
      <c r="G97" s="30">
        <f>'Прилож №5'!H75</f>
        <v>22145</v>
      </c>
      <c r="H97" s="30">
        <f>'Прилож №5'!I75</f>
        <v>0</v>
      </c>
      <c r="I97" s="5"/>
    </row>
    <row r="98" spans="1:9" s="1" customFormat="1" ht="23.25" customHeight="1">
      <c r="A98" s="112" t="s">
        <v>230</v>
      </c>
      <c r="B98" s="29" t="s">
        <v>116</v>
      </c>
      <c r="C98" s="84" t="s">
        <v>120</v>
      </c>
      <c r="D98" s="29" t="s">
        <v>229</v>
      </c>
      <c r="E98" s="131"/>
      <c r="F98" s="28"/>
      <c r="G98" s="30">
        <f>G99</f>
        <v>40000</v>
      </c>
      <c r="H98" s="30">
        <f>H99</f>
        <v>40000</v>
      </c>
      <c r="I98" s="5"/>
    </row>
    <row r="99" spans="1:9" s="1" customFormat="1" ht="35.25" customHeight="1">
      <c r="A99" s="111" t="s">
        <v>385</v>
      </c>
      <c r="B99" s="29" t="s">
        <v>116</v>
      </c>
      <c r="C99" s="84" t="s">
        <v>120</v>
      </c>
      <c r="D99" s="29" t="s">
        <v>384</v>
      </c>
      <c r="E99" s="131"/>
      <c r="F99" s="28"/>
      <c r="G99" s="30">
        <f>G101+G103</f>
        <v>40000</v>
      </c>
      <c r="H99" s="30">
        <f>H101+H103</f>
        <v>40000</v>
      </c>
      <c r="I99" s="5"/>
    </row>
    <row r="100" spans="1:9" s="1" customFormat="1" ht="43.5" customHeight="1">
      <c r="A100" s="325" t="s">
        <v>422</v>
      </c>
      <c r="B100" s="29" t="s">
        <v>116</v>
      </c>
      <c r="C100" s="84" t="s">
        <v>120</v>
      </c>
      <c r="D100" s="29" t="s">
        <v>419</v>
      </c>
      <c r="E100" s="131"/>
      <c r="F100" s="28"/>
      <c r="G100" s="30">
        <f>G101</f>
        <v>20000</v>
      </c>
      <c r="H100" s="30">
        <f>H101</f>
        <v>20000</v>
      </c>
      <c r="I100" s="5"/>
    </row>
    <row r="101" spans="1:9" s="1" customFormat="1" ht="18" customHeight="1">
      <c r="A101" s="290" t="s">
        <v>330</v>
      </c>
      <c r="B101" s="29" t="s">
        <v>116</v>
      </c>
      <c r="C101" s="84" t="s">
        <v>120</v>
      </c>
      <c r="D101" s="29" t="s">
        <v>419</v>
      </c>
      <c r="E101" s="131" t="s">
        <v>329</v>
      </c>
      <c r="F101" s="28"/>
      <c r="G101" s="30">
        <f>'Прилож №5'!H79</f>
        <v>20000</v>
      </c>
      <c r="H101" s="30">
        <f>'Прилож №5'!I79</f>
        <v>20000</v>
      </c>
      <c r="I101" s="5"/>
    </row>
    <row r="102" spans="1:9" s="1" customFormat="1" ht="61.5" customHeight="1">
      <c r="A102" s="325" t="s">
        <v>421</v>
      </c>
      <c r="B102" s="29" t="s">
        <v>116</v>
      </c>
      <c r="C102" s="84" t="s">
        <v>120</v>
      </c>
      <c r="D102" s="29" t="s">
        <v>420</v>
      </c>
      <c r="E102" s="131"/>
      <c r="F102" s="28"/>
      <c r="G102" s="30">
        <f>G103</f>
        <v>20000</v>
      </c>
      <c r="H102" s="30">
        <f>H103</f>
        <v>20000</v>
      </c>
      <c r="I102" s="5"/>
    </row>
    <row r="103" spans="1:9" s="1" customFormat="1" ht="18" customHeight="1">
      <c r="A103" s="290" t="s">
        <v>330</v>
      </c>
      <c r="B103" s="29" t="s">
        <v>116</v>
      </c>
      <c r="C103" s="84" t="s">
        <v>120</v>
      </c>
      <c r="D103" s="29" t="s">
        <v>420</v>
      </c>
      <c r="E103" s="131" t="s">
        <v>329</v>
      </c>
      <c r="F103" s="28"/>
      <c r="G103" s="30">
        <f>'Прилож №5'!H81</f>
        <v>20000</v>
      </c>
      <c r="H103" s="30">
        <f>'Прилож №5'!I81</f>
        <v>20000</v>
      </c>
      <c r="I103" s="5"/>
    </row>
    <row r="104" spans="1:9" s="3" customFormat="1" ht="15.75">
      <c r="A104" s="15" t="s">
        <v>43</v>
      </c>
      <c r="B104" s="33" t="s">
        <v>116</v>
      </c>
      <c r="C104" s="85" t="s">
        <v>117</v>
      </c>
      <c r="D104" s="33"/>
      <c r="E104" s="154"/>
      <c r="F104" s="32"/>
      <c r="G104" s="34">
        <f>G111+G105+G108</f>
        <v>62854.6</v>
      </c>
      <c r="H104" s="34">
        <f>H111+H105</f>
        <v>0</v>
      </c>
      <c r="I104" s="5"/>
    </row>
    <row r="105" spans="1:9" s="3" customFormat="1" ht="29.25">
      <c r="A105" s="110" t="s">
        <v>69</v>
      </c>
      <c r="B105" s="49" t="s">
        <v>116</v>
      </c>
      <c r="C105" s="48" t="s">
        <v>117</v>
      </c>
      <c r="D105" s="29" t="s">
        <v>87</v>
      </c>
      <c r="E105" s="131"/>
      <c r="F105" s="94"/>
      <c r="G105" s="30">
        <f>G106</f>
        <v>59858.9</v>
      </c>
      <c r="H105" s="30">
        <f>H106</f>
        <v>0</v>
      </c>
      <c r="I105" s="5"/>
    </row>
    <row r="106" spans="1:9" s="3" customFormat="1" ht="15.75">
      <c r="A106" s="108" t="s">
        <v>18</v>
      </c>
      <c r="B106" s="49" t="s">
        <v>116</v>
      </c>
      <c r="C106" s="48" t="s">
        <v>117</v>
      </c>
      <c r="D106" s="29" t="s">
        <v>221</v>
      </c>
      <c r="E106" s="131"/>
      <c r="F106" s="102"/>
      <c r="G106" s="30">
        <f>G107</f>
        <v>59858.9</v>
      </c>
      <c r="H106" s="30">
        <f>H107</f>
        <v>0</v>
      </c>
      <c r="I106" s="5"/>
    </row>
    <row r="107" spans="1:9" s="3" customFormat="1" ht="15.75">
      <c r="A107" s="108" t="s">
        <v>155</v>
      </c>
      <c r="B107" s="49" t="s">
        <v>116</v>
      </c>
      <c r="C107" s="48" t="s">
        <v>117</v>
      </c>
      <c r="D107" s="29" t="s">
        <v>221</v>
      </c>
      <c r="E107" s="28" t="s">
        <v>156</v>
      </c>
      <c r="F107" s="102" t="s">
        <v>57</v>
      </c>
      <c r="G107" s="30">
        <f>'Прилож №5'!H85</f>
        <v>59858.9</v>
      </c>
      <c r="H107" s="30">
        <f>'Прилож №5'!I85</f>
        <v>0</v>
      </c>
      <c r="I107" s="5"/>
    </row>
    <row r="108" spans="1:9" s="3" customFormat="1" ht="29.25">
      <c r="A108" s="115" t="s">
        <v>72</v>
      </c>
      <c r="B108" s="49" t="s">
        <v>116</v>
      </c>
      <c r="C108" s="28" t="s">
        <v>117</v>
      </c>
      <c r="D108" s="29" t="s">
        <v>48</v>
      </c>
      <c r="E108" s="28"/>
      <c r="F108" s="58"/>
      <c r="G108" s="39">
        <f>G109</f>
        <v>1621</v>
      </c>
      <c r="H108" s="39"/>
      <c r="I108" s="5"/>
    </row>
    <row r="109" spans="1:9" s="3" customFormat="1" ht="15.75">
      <c r="A109" s="116" t="s">
        <v>181</v>
      </c>
      <c r="B109" s="49" t="s">
        <v>116</v>
      </c>
      <c r="C109" s="37" t="s">
        <v>117</v>
      </c>
      <c r="D109" s="38" t="s">
        <v>182</v>
      </c>
      <c r="E109" s="37"/>
      <c r="F109" s="58"/>
      <c r="G109" s="39">
        <f>G110</f>
        <v>1621</v>
      </c>
      <c r="H109" s="39"/>
      <c r="I109" s="5"/>
    </row>
    <row r="110" spans="1:9" s="3" customFormat="1" ht="15.75">
      <c r="A110" s="117" t="s">
        <v>94</v>
      </c>
      <c r="B110" s="49" t="s">
        <v>116</v>
      </c>
      <c r="C110" s="29" t="s">
        <v>117</v>
      </c>
      <c r="D110" s="38" t="s">
        <v>182</v>
      </c>
      <c r="E110" s="37" t="s">
        <v>158</v>
      </c>
      <c r="F110" s="57" t="s">
        <v>158</v>
      </c>
      <c r="G110" s="39">
        <f>'Прилож №5'!H510</f>
        <v>1621</v>
      </c>
      <c r="H110" s="39"/>
      <c r="I110" s="5"/>
    </row>
    <row r="111" spans="1:9" s="4" customFormat="1" ht="15.75">
      <c r="A111" s="108" t="s">
        <v>83</v>
      </c>
      <c r="B111" s="49" t="s">
        <v>116</v>
      </c>
      <c r="C111" s="37" t="s">
        <v>117</v>
      </c>
      <c r="D111" s="38" t="s">
        <v>84</v>
      </c>
      <c r="E111" s="131"/>
      <c r="F111" s="57"/>
      <c r="G111" s="39">
        <f>G112+G115</f>
        <v>1374.7</v>
      </c>
      <c r="H111" s="39">
        <f>H112+H115</f>
        <v>0</v>
      </c>
      <c r="I111" s="5"/>
    </row>
    <row r="112" spans="1:9" s="4" customFormat="1" ht="43.5">
      <c r="A112" s="222" t="s">
        <v>211</v>
      </c>
      <c r="B112" s="49" t="s">
        <v>116</v>
      </c>
      <c r="C112" s="37" t="s">
        <v>117</v>
      </c>
      <c r="D112" s="38" t="s">
        <v>217</v>
      </c>
      <c r="E112" s="131"/>
      <c r="F112" s="57"/>
      <c r="G112" s="39">
        <f>G113+G114</f>
        <v>995</v>
      </c>
      <c r="H112" s="39">
        <f>H114</f>
        <v>0</v>
      </c>
      <c r="I112" s="5"/>
    </row>
    <row r="113" spans="1:9" s="4" customFormat="1" ht="15.75">
      <c r="A113" s="127" t="s">
        <v>272</v>
      </c>
      <c r="B113" s="49" t="s">
        <v>116</v>
      </c>
      <c r="C113" s="37" t="s">
        <v>117</v>
      </c>
      <c r="D113" s="38" t="s">
        <v>217</v>
      </c>
      <c r="E113" s="37" t="s">
        <v>57</v>
      </c>
      <c r="F113" s="57"/>
      <c r="G113" s="39">
        <f>'Прилож №5'!H88</f>
        <v>350</v>
      </c>
      <c r="H113" s="39"/>
      <c r="I113" s="5"/>
    </row>
    <row r="114" spans="1:9" s="4" customFormat="1" ht="15.75">
      <c r="A114" s="114" t="s">
        <v>94</v>
      </c>
      <c r="B114" s="49" t="s">
        <v>116</v>
      </c>
      <c r="C114" s="37" t="s">
        <v>117</v>
      </c>
      <c r="D114" s="38" t="s">
        <v>217</v>
      </c>
      <c r="E114" s="37" t="s">
        <v>158</v>
      </c>
      <c r="F114" s="57" t="s">
        <v>158</v>
      </c>
      <c r="G114" s="39">
        <f>'Прилож №5'!H89</f>
        <v>645</v>
      </c>
      <c r="H114" s="39">
        <f>'Прилож №5'!I89</f>
        <v>0</v>
      </c>
      <c r="I114" s="5"/>
    </row>
    <row r="115" spans="1:9" s="4" customFormat="1" ht="43.5">
      <c r="A115" s="166" t="s">
        <v>251</v>
      </c>
      <c r="B115" s="38" t="s">
        <v>116</v>
      </c>
      <c r="C115" s="89" t="s">
        <v>117</v>
      </c>
      <c r="D115" s="38" t="s">
        <v>151</v>
      </c>
      <c r="E115" s="131"/>
      <c r="F115" s="54"/>
      <c r="G115" s="39">
        <f>G116</f>
        <v>379.7</v>
      </c>
      <c r="H115" s="39">
        <f>H116</f>
        <v>0</v>
      </c>
      <c r="I115" s="5"/>
    </row>
    <row r="116" spans="1:9" s="4" customFormat="1" ht="16.5" thickBot="1">
      <c r="A116" s="126" t="s">
        <v>94</v>
      </c>
      <c r="B116" s="29" t="s">
        <v>116</v>
      </c>
      <c r="C116" s="29" t="s">
        <v>117</v>
      </c>
      <c r="D116" s="38" t="s">
        <v>151</v>
      </c>
      <c r="E116" s="156" t="s">
        <v>158</v>
      </c>
      <c r="F116" s="54"/>
      <c r="G116" s="39">
        <f>'Прилож №5'!H91</f>
        <v>379.7</v>
      </c>
      <c r="H116" s="39">
        <f>'Прилож №5'!I91</f>
        <v>0</v>
      </c>
      <c r="I116" s="5"/>
    </row>
    <row r="117" spans="1:9" s="4" customFormat="1" ht="15.75">
      <c r="A117" s="55" t="s">
        <v>16</v>
      </c>
      <c r="B117" s="107" t="s">
        <v>127</v>
      </c>
      <c r="C117" s="107"/>
      <c r="D117" s="107"/>
      <c r="E117" s="255"/>
      <c r="F117" s="21"/>
      <c r="G117" s="286">
        <f>G118+G157+G140</f>
        <v>509373.30000000005</v>
      </c>
      <c r="H117" s="254">
        <f>H118+H157+H140</f>
        <v>309450.7</v>
      </c>
      <c r="I117" s="5"/>
    </row>
    <row r="118" spans="1:9" s="4" customFormat="1" ht="15.75">
      <c r="A118" s="53" t="s">
        <v>45</v>
      </c>
      <c r="B118" s="33" t="s">
        <v>127</v>
      </c>
      <c r="C118" s="33" t="s">
        <v>114</v>
      </c>
      <c r="D118" s="33"/>
      <c r="E118" s="33"/>
      <c r="F118" s="32"/>
      <c r="G118" s="164">
        <f>G129+G119+G126</f>
        <v>138479.6</v>
      </c>
      <c r="H118" s="34">
        <f>H129+H119+H126</f>
        <v>77410.7</v>
      </c>
      <c r="I118" s="5"/>
    </row>
    <row r="119" spans="1:9" s="4" customFormat="1" ht="29.25">
      <c r="A119" s="111" t="s">
        <v>286</v>
      </c>
      <c r="B119" s="63" t="s">
        <v>127</v>
      </c>
      <c r="C119" s="63" t="s">
        <v>114</v>
      </c>
      <c r="D119" s="63" t="s">
        <v>287</v>
      </c>
      <c r="E119" s="63" t="s">
        <v>36</v>
      </c>
      <c r="F119" s="152"/>
      <c r="G119" s="256">
        <f>G120+G123</f>
        <v>121908.6</v>
      </c>
      <c r="H119" s="50">
        <f>H120+H123</f>
        <v>77410.7</v>
      </c>
      <c r="I119" s="5"/>
    </row>
    <row r="120" spans="1:9" s="4" customFormat="1" ht="72">
      <c r="A120" s="253" t="s">
        <v>288</v>
      </c>
      <c r="B120" s="29" t="s">
        <v>127</v>
      </c>
      <c r="C120" s="29" t="s">
        <v>114</v>
      </c>
      <c r="D120" s="29" t="s">
        <v>289</v>
      </c>
      <c r="E120" s="29" t="s">
        <v>36</v>
      </c>
      <c r="F120" s="151"/>
      <c r="G120" s="257">
        <f>G121</f>
        <v>60954.3</v>
      </c>
      <c r="H120" s="30">
        <f>H121</f>
        <v>55696.5</v>
      </c>
      <c r="I120" s="5"/>
    </row>
    <row r="121" spans="1:9" s="4" customFormat="1" ht="57.75">
      <c r="A121" s="253" t="s">
        <v>290</v>
      </c>
      <c r="B121" s="29" t="s">
        <v>127</v>
      </c>
      <c r="C121" s="29" t="s">
        <v>114</v>
      </c>
      <c r="D121" s="29" t="s">
        <v>291</v>
      </c>
      <c r="E121" s="29" t="s">
        <v>36</v>
      </c>
      <c r="F121" s="151"/>
      <c r="G121" s="257">
        <f>G122</f>
        <v>60954.3</v>
      </c>
      <c r="H121" s="30">
        <f>H122</f>
        <v>55696.5</v>
      </c>
      <c r="I121" s="5"/>
    </row>
    <row r="122" spans="1:9" s="4" customFormat="1" ht="43.5">
      <c r="A122" s="253" t="s">
        <v>442</v>
      </c>
      <c r="B122" s="29" t="s">
        <v>127</v>
      </c>
      <c r="C122" s="29" t="s">
        <v>114</v>
      </c>
      <c r="D122" s="29" t="s">
        <v>291</v>
      </c>
      <c r="E122" s="29" t="s">
        <v>428</v>
      </c>
      <c r="F122" s="151" t="s">
        <v>57</v>
      </c>
      <c r="G122" s="257">
        <f>'Прилож №5'!H97</f>
        <v>60954.3</v>
      </c>
      <c r="H122" s="30">
        <f>'Прилож №5'!I97</f>
        <v>55696.5</v>
      </c>
      <c r="I122" s="5"/>
    </row>
    <row r="123" spans="1:9" s="4" customFormat="1" ht="29.25">
      <c r="A123" s="253" t="s">
        <v>292</v>
      </c>
      <c r="B123" s="29" t="s">
        <v>127</v>
      </c>
      <c r="C123" s="29" t="s">
        <v>114</v>
      </c>
      <c r="D123" s="29" t="s">
        <v>293</v>
      </c>
      <c r="E123" s="38" t="s">
        <v>36</v>
      </c>
      <c r="F123" s="151"/>
      <c r="G123" s="257">
        <f>G124</f>
        <v>60954.299999999996</v>
      </c>
      <c r="H123" s="30">
        <f>H124</f>
        <v>21714.2</v>
      </c>
      <c r="I123" s="5"/>
    </row>
    <row r="124" spans="1:9" s="4" customFormat="1" ht="29.25">
      <c r="A124" s="253" t="s">
        <v>286</v>
      </c>
      <c r="B124" s="29" t="s">
        <v>127</v>
      </c>
      <c r="C124" s="29" t="s">
        <v>114</v>
      </c>
      <c r="D124" s="84" t="s">
        <v>294</v>
      </c>
      <c r="E124" s="29" t="s">
        <v>36</v>
      </c>
      <c r="F124" s="151"/>
      <c r="G124" s="257">
        <f>G125</f>
        <v>60954.299999999996</v>
      </c>
      <c r="H124" s="30">
        <f>H125</f>
        <v>21714.2</v>
      </c>
      <c r="I124" s="5"/>
    </row>
    <row r="125" spans="1:9" s="4" customFormat="1" ht="54" customHeight="1">
      <c r="A125" s="253" t="s">
        <v>442</v>
      </c>
      <c r="B125" s="29" t="s">
        <v>127</v>
      </c>
      <c r="C125" s="29" t="s">
        <v>114</v>
      </c>
      <c r="D125" s="84" t="s">
        <v>294</v>
      </c>
      <c r="E125" s="29" t="s">
        <v>428</v>
      </c>
      <c r="F125" s="151" t="s">
        <v>57</v>
      </c>
      <c r="G125" s="257">
        <f>'Прилож №5'!H100</f>
        <v>60954.299999999996</v>
      </c>
      <c r="H125" s="30">
        <f>'Прилож №5'!I100</f>
        <v>21714.2</v>
      </c>
      <c r="I125" s="5"/>
    </row>
    <row r="126" spans="1:9" s="4" customFormat="1" ht="16.5" customHeight="1">
      <c r="A126" s="260" t="s">
        <v>304</v>
      </c>
      <c r="B126" s="29" t="s">
        <v>127</v>
      </c>
      <c r="C126" s="29" t="s">
        <v>114</v>
      </c>
      <c r="D126" s="28" t="s">
        <v>303</v>
      </c>
      <c r="E126" s="29" t="s">
        <v>36</v>
      </c>
      <c r="F126" s="132"/>
      <c r="G126" s="171">
        <f>G127</f>
        <v>3364.2000000000003</v>
      </c>
      <c r="H126" s="34"/>
      <c r="I126" s="5"/>
    </row>
    <row r="127" spans="1:9" s="4" customFormat="1" ht="16.5" customHeight="1">
      <c r="A127" s="260" t="s">
        <v>305</v>
      </c>
      <c r="B127" s="29" t="s">
        <v>127</v>
      </c>
      <c r="C127" s="29" t="s">
        <v>114</v>
      </c>
      <c r="D127" s="28" t="s">
        <v>306</v>
      </c>
      <c r="E127" s="29" t="s">
        <v>36</v>
      </c>
      <c r="F127" s="132"/>
      <c r="G127" s="171">
        <f>G128</f>
        <v>3364.2000000000003</v>
      </c>
      <c r="H127" s="34"/>
      <c r="I127" s="5"/>
    </row>
    <row r="128" spans="1:9" s="4" customFormat="1" ht="16.5" customHeight="1">
      <c r="A128" s="260" t="s">
        <v>94</v>
      </c>
      <c r="B128" s="29" t="s">
        <v>127</v>
      </c>
      <c r="C128" s="29" t="s">
        <v>114</v>
      </c>
      <c r="D128" s="28" t="s">
        <v>306</v>
      </c>
      <c r="E128" s="29" t="s">
        <v>158</v>
      </c>
      <c r="F128" s="132" t="s">
        <v>158</v>
      </c>
      <c r="G128" s="171">
        <f>'Прилож №5'!H103+'Прилож №5'!H515</f>
        <v>3364.2000000000003</v>
      </c>
      <c r="H128" s="34"/>
      <c r="I128" s="5"/>
    </row>
    <row r="129" spans="1:9" s="4" customFormat="1" ht="15.75">
      <c r="A129" s="108" t="s">
        <v>83</v>
      </c>
      <c r="B129" s="29" t="s">
        <v>127</v>
      </c>
      <c r="C129" s="29" t="s">
        <v>114</v>
      </c>
      <c r="D129" s="84" t="s">
        <v>84</v>
      </c>
      <c r="E129" s="29"/>
      <c r="F129" s="32"/>
      <c r="G129" s="121">
        <f>G131+G133+G135+G136+G138</f>
        <v>13206.8</v>
      </c>
      <c r="H129" s="34"/>
      <c r="I129" s="5"/>
    </row>
    <row r="130" spans="1:9" s="4" customFormat="1" ht="57.75">
      <c r="A130" s="111" t="s">
        <v>258</v>
      </c>
      <c r="B130" s="49" t="s">
        <v>127</v>
      </c>
      <c r="C130" s="49" t="s">
        <v>114</v>
      </c>
      <c r="D130" s="49" t="s">
        <v>153</v>
      </c>
      <c r="E130" s="49"/>
      <c r="F130" s="36"/>
      <c r="G130" s="50">
        <f>G131</f>
        <v>5052</v>
      </c>
      <c r="H130" s="61"/>
      <c r="I130" s="5"/>
    </row>
    <row r="131" spans="1:9" s="4" customFormat="1" ht="15.75">
      <c r="A131" s="108" t="s">
        <v>94</v>
      </c>
      <c r="B131" s="29" t="s">
        <v>127</v>
      </c>
      <c r="C131" s="29" t="s">
        <v>114</v>
      </c>
      <c r="D131" s="63" t="s">
        <v>153</v>
      </c>
      <c r="E131" s="48" t="s">
        <v>158</v>
      </c>
      <c r="F131" s="36"/>
      <c r="G131" s="50">
        <f>'Прилож №5'!H106</f>
        <v>5052</v>
      </c>
      <c r="H131" s="61"/>
      <c r="I131" s="5"/>
    </row>
    <row r="132" spans="1:9" s="4" customFormat="1" ht="65.25" customHeight="1">
      <c r="A132" s="227" t="s">
        <v>212</v>
      </c>
      <c r="B132" s="29" t="s">
        <v>127</v>
      </c>
      <c r="C132" s="29" t="s">
        <v>114</v>
      </c>
      <c r="D132" s="38" t="s">
        <v>260</v>
      </c>
      <c r="E132" s="28"/>
      <c r="F132" s="36"/>
      <c r="G132" s="50">
        <f>G133</f>
        <v>1600</v>
      </c>
      <c r="H132" s="61"/>
      <c r="I132" s="5"/>
    </row>
    <row r="133" spans="1:9" s="4" customFormat="1" ht="15.75">
      <c r="A133" s="108" t="s">
        <v>94</v>
      </c>
      <c r="B133" s="29" t="s">
        <v>127</v>
      </c>
      <c r="C133" s="29" t="s">
        <v>114</v>
      </c>
      <c r="D133" s="38" t="s">
        <v>260</v>
      </c>
      <c r="E133" s="28" t="s">
        <v>158</v>
      </c>
      <c r="F133" s="36"/>
      <c r="G133" s="50">
        <f>'Прилож №5'!H108</f>
        <v>1600</v>
      </c>
      <c r="H133" s="61"/>
      <c r="I133" s="5"/>
    </row>
    <row r="134" spans="1:9" s="4" customFormat="1" ht="42.75">
      <c r="A134" s="208" t="s">
        <v>259</v>
      </c>
      <c r="B134" s="29" t="s">
        <v>127</v>
      </c>
      <c r="C134" s="29" t="s">
        <v>114</v>
      </c>
      <c r="D134" s="38" t="s">
        <v>215</v>
      </c>
      <c r="E134" s="28"/>
      <c r="F134" s="36"/>
      <c r="G134" s="50">
        <f>G135</f>
        <v>5858.8</v>
      </c>
      <c r="H134" s="61"/>
      <c r="I134" s="5"/>
    </row>
    <row r="135" spans="1:9" s="4" customFormat="1" ht="15.75">
      <c r="A135" s="236" t="s">
        <v>272</v>
      </c>
      <c r="B135" s="38" t="s">
        <v>127</v>
      </c>
      <c r="C135" s="38" t="s">
        <v>114</v>
      </c>
      <c r="D135" s="38" t="s">
        <v>215</v>
      </c>
      <c r="E135" s="28" t="s">
        <v>57</v>
      </c>
      <c r="F135" s="48"/>
      <c r="G135" s="50">
        <f>'Прилож №5'!H110</f>
        <v>5858.8</v>
      </c>
      <c r="H135" s="50"/>
      <c r="I135" s="5"/>
    </row>
    <row r="136" spans="1:9" s="4" customFormat="1" ht="43.5">
      <c r="A136" s="236" t="s">
        <v>307</v>
      </c>
      <c r="B136" s="29" t="s">
        <v>127</v>
      </c>
      <c r="C136" s="38" t="s">
        <v>114</v>
      </c>
      <c r="D136" s="38" t="s">
        <v>308</v>
      </c>
      <c r="E136" s="28" t="s">
        <v>36</v>
      </c>
      <c r="F136" s="58"/>
      <c r="G136" s="50">
        <f>G137</f>
        <v>600</v>
      </c>
      <c r="H136" s="50"/>
      <c r="I136" s="5"/>
    </row>
    <row r="137" spans="1:9" s="4" customFormat="1" ht="16.5" thickBot="1">
      <c r="A137" s="236" t="s">
        <v>94</v>
      </c>
      <c r="B137" s="38" t="s">
        <v>127</v>
      </c>
      <c r="C137" s="38" t="s">
        <v>114</v>
      </c>
      <c r="D137" s="38" t="s">
        <v>308</v>
      </c>
      <c r="E137" s="28" t="s">
        <v>158</v>
      </c>
      <c r="F137" s="58" t="s">
        <v>158</v>
      </c>
      <c r="G137" s="50">
        <f>'Прилож №5'!H112</f>
        <v>600</v>
      </c>
      <c r="H137" s="50"/>
      <c r="I137" s="5"/>
    </row>
    <row r="138" spans="1:9" s="4" customFormat="1" ht="72">
      <c r="A138" s="261" t="s">
        <v>309</v>
      </c>
      <c r="B138" s="352" t="s">
        <v>127</v>
      </c>
      <c r="C138" s="38" t="s">
        <v>114</v>
      </c>
      <c r="D138" s="38" t="s">
        <v>310</v>
      </c>
      <c r="E138" s="28" t="s">
        <v>36</v>
      </c>
      <c r="F138" s="58"/>
      <c r="G138" s="50">
        <f>G139</f>
        <v>96</v>
      </c>
      <c r="H138" s="50"/>
      <c r="I138" s="5"/>
    </row>
    <row r="139" spans="1:9" s="4" customFormat="1" ht="15.75">
      <c r="A139" s="236" t="s">
        <v>94</v>
      </c>
      <c r="B139" s="29" t="s">
        <v>127</v>
      </c>
      <c r="C139" s="38" t="s">
        <v>114</v>
      </c>
      <c r="D139" s="38" t="s">
        <v>310</v>
      </c>
      <c r="E139" s="28" t="s">
        <v>158</v>
      </c>
      <c r="F139" s="58" t="s">
        <v>158</v>
      </c>
      <c r="G139" s="50">
        <f>'Прилож №5'!H114</f>
        <v>96</v>
      </c>
      <c r="H139" s="50"/>
      <c r="I139" s="5"/>
    </row>
    <row r="140" spans="1:9" s="4" customFormat="1" ht="15.75">
      <c r="A140" s="15" t="s">
        <v>227</v>
      </c>
      <c r="B140" s="33" t="s">
        <v>127</v>
      </c>
      <c r="C140" s="33" t="s">
        <v>115</v>
      </c>
      <c r="D140" s="33"/>
      <c r="E140" s="154"/>
      <c r="F140" s="130" t="s">
        <v>36</v>
      </c>
      <c r="G140" s="61">
        <f>G150+G144+G141</f>
        <v>296348.7</v>
      </c>
      <c r="H140" s="61">
        <f>H150+H144</f>
        <v>229200</v>
      </c>
      <c r="I140" s="5"/>
    </row>
    <row r="141" spans="1:9" s="4" customFormat="1" ht="15.75">
      <c r="A141" s="359" t="s">
        <v>471</v>
      </c>
      <c r="B141" s="29" t="s">
        <v>127</v>
      </c>
      <c r="C141" s="89" t="s">
        <v>115</v>
      </c>
      <c r="D141" s="29" t="s">
        <v>472</v>
      </c>
      <c r="E141" s="32"/>
      <c r="F141" s="130"/>
      <c r="G141" s="61">
        <f>G142</f>
        <v>50118.8</v>
      </c>
      <c r="H141" s="61"/>
      <c r="I141" s="5"/>
    </row>
    <row r="142" spans="1:9" s="4" customFormat="1" ht="15.75">
      <c r="A142" s="359" t="s">
        <v>473</v>
      </c>
      <c r="B142" s="29" t="s">
        <v>127</v>
      </c>
      <c r="C142" s="89" t="s">
        <v>115</v>
      </c>
      <c r="D142" s="29" t="s">
        <v>474</v>
      </c>
      <c r="E142" s="32"/>
      <c r="F142" s="130"/>
      <c r="G142" s="61">
        <f>G143</f>
        <v>50118.8</v>
      </c>
      <c r="H142" s="61"/>
      <c r="I142" s="5"/>
    </row>
    <row r="143" spans="1:9" s="4" customFormat="1" ht="15.75">
      <c r="A143" s="167" t="s">
        <v>94</v>
      </c>
      <c r="B143" s="29" t="s">
        <v>127</v>
      </c>
      <c r="C143" s="84" t="s">
        <v>115</v>
      </c>
      <c r="D143" s="29" t="s">
        <v>474</v>
      </c>
      <c r="E143" s="32" t="s">
        <v>158</v>
      </c>
      <c r="F143" s="130"/>
      <c r="G143" s="61">
        <f>'Прилож №5'!H118+'Прилож №5'!H471</f>
        <v>50118.8</v>
      </c>
      <c r="H143" s="61"/>
      <c r="I143" s="5"/>
    </row>
    <row r="144" spans="1:9" s="4" customFormat="1" ht="15.75">
      <c r="A144" s="112" t="s">
        <v>230</v>
      </c>
      <c r="B144" s="59" t="s">
        <v>127</v>
      </c>
      <c r="C144" s="59" t="s">
        <v>115</v>
      </c>
      <c r="D144" s="59" t="s">
        <v>229</v>
      </c>
      <c r="E144" s="32"/>
      <c r="F144" s="130"/>
      <c r="G144" s="50">
        <f>G145</f>
        <v>229200</v>
      </c>
      <c r="H144" s="50">
        <f>H145</f>
        <v>229200</v>
      </c>
      <c r="I144" s="5"/>
    </row>
    <row r="145" spans="1:9" s="4" customFormat="1" ht="29.25">
      <c r="A145" s="111" t="s">
        <v>283</v>
      </c>
      <c r="B145" s="29" t="s">
        <v>127</v>
      </c>
      <c r="C145" s="29" t="s">
        <v>115</v>
      </c>
      <c r="D145" s="29" t="s">
        <v>282</v>
      </c>
      <c r="E145" s="32"/>
      <c r="F145" s="130"/>
      <c r="G145" s="50">
        <f>G146+G148</f>
        <v>229200</v>
      </c>
      <c r="H145" s="50">
        <f>H146+H148</f>
        <v>229200</v>
      </c>
      <c r="I145" s="5"/>
    </row>
    <row r="146" spans="1:9" s="4" customFormat="1" ht="29.25">
      <c r="A146" s="110" t="s">
        <v>284</v>
      </c>
      <c r="B146" s="49" t="s">
        <v>127</v>
      </c>
      <c r="C146" s="29" t="s">
        <v>115</v>
      </c>
      <c r="D146" s="29" t="s">
        <v>281</v>
      </c>
      <c r="E146" s="32"/>
      <c r="F146" s="130"/>
      <c r="G146" s="50">
        <f>G147</f>
        <v>187200</v>
      </c>
      <c r="H146" s="50">
        <f>H147</f>
        <v>187200</v>
      </c>
      <c r="I146" s="5"/>
    </row>
    <row r="147" spans="1:9" s="4" customFormat="1" ht="15.75">
      <c r="A147" s="201" t="s">
        <v>256</v>
      </c>
      <c r="B147" s="29" t="s">
        <v>127</v>
      </c>
      <c r="C147" s="29" t="s">
        <v>115</v>
      </c>
      <c r="D147" s="29" t="s">
        <v>281</v>
      </c>
      <c r="E147" s="28" t="s">
        <v>429</v>
      </c>
      <c r="F147" s="56"/>
      <c r="G147" s="50">
        <f>'Прилож №5'!H122</f>
        <v>187200</v>
      </c>
      <c r="H147" s="50">
        <f>'Прилож №5'!I122</f>
        <v>187200</v>
      </c>
      <c r="I147" s="5"/>
    </row>
    <row r="148" spans="1:9" s="4" customFormat="1" ht="57.75">
      <c r="A148" s="127" t="s">
        <v>425</v>
      </c>
      <c r="B148" s="29" t="s">
        <v>127</v>
      </c>
      <c r="C148" s="29" t="s">
        <v>115</v>
      </c>
      <c r="D148" s="29" t="s">
        <v>418</v>
      </c>
      <c r="E148" s="28"/>
      <c r="F148" s="56"/>
      <c r="G148" s="50">
        <f>G149</f>
        <v>42000</v>
      </c>
      <c r="H148" s="50">
        <f>H149</f>
        <v>42000</v>
      </c>
      <c r="I148" s="5"/>
    </row>
    <row r="149" spans="1:9" s="4" customFormat="1" ht="33" customHeight="1">
      <c r="A149" s="111" t="s">
        <v>312</v>
      </c>
      <c r="B149" s="29" t="s">
        <v>127</v>
      </c>
      <c r="C149" s="29" t="s">
        <v>115</v>
      </c>
      <c r="D149" s="29" t="s">
        <v>418</v>
      </c>
      <c r="E149" s="28" t="s">
        <v>313</v>
      </c>
      <c r="F149" s="56"/>
      <c r="G149" s="50">
        <f>'Прилож №5'!H124</f>
        <v>42000</v>
      </c>
      <c r="H149" s="50">
        <f>'Прилож №5'!I124</f>
        <v>42000</v>
      </c>
      <c r="I149" s="5"/>
    </row>
    <row r="150" spans="1:9" s="4" customFormat="1" ht="15.75">
      <c r="A150" s="109" t="s">
        <v>83</v>
      </c>
      <c r="B150" s="29" t="s">
        <v>127</v>
      </c>
      <c r="C150" s="29" t="s">
        <v>115</v>
      </c>
      <c r="D150" s="29" t="s">
        <v>84</v>
      </c>
      <c r="E150" s="28"/>
      <c r="F150" s="58"/>
      <c r="G150" s="50">
        <f>G151</f>
        <v>17029.899999999998</v>
      </c>
      <c r="H150" s="50">
        <f>H152+H155</f>
        <v>0</v>
      </c>
      <c r="I150" s="5"/>
    </row>
    <row r="151" spans="1:9" s="4" customFormat="1" ht="43.5">
      <c r="A151" s="228" t="s">
        <v>255</v>
      </c>
      <c r="B151" s="49" t="s">
        <v>127</v>
      </c>
      <c r="C151" s="49" t="s">
        <v>115</v>
      </c>
      <c r="D151" s="38" t="s">
        <v>213</v>
      </c>
      <c r="E151" s="28"/>
      <c r="F151" s="58"/>
      <c r="G151" s="50">
        <f>G152+G153</f>
        <v>17029.899999999998</v>
      </c>
      <c r="H151" s="61"/>
      <c r="I151" s="5"/>
    </row>
    <row r="152" spans="1:9" s="4" customFormat="1" ht="15.75">
      <c r="A152" s="114" t="s">
        <v>94</v>
      </c>
      <c r="B152" s="29" t="s">
        <v>127</v>
      </c>
      <c r="C152" s="29" t="s">
        <v>115</v>
      </c>
      <c r="D152" s="38" t="s">
        <v>213</v>
      </c>
      <c r="E152" s="28" t="s">
        <v>158</v>
      </c>
      <c r="F152" s="58" t="s">
        <v>158</v>
      </c>
      <c r="G152" s="50">
        <f>'Прилож №5'!H127</f>
        <v>5384.099999999999</v>
      </c>
      <c r="H152" s="50">
        <f>'Прилож №5'!I127</f>
        <v>0</v>
      </c>
      <c r="I152" s="5"/>
    </row>
    <row r="153" spans="1:9" s="4" customFormat="1" ht="15.75">
      <c r="A153" s="53" t="s">
        <v>131</v>
      </c>
      <c r="B153" s="29" t="s">
        <v>127</v>
      </c>
      <c r="C153" s="29" t="s">
        <v>115</v>
      </c>
      <c r="D153" s="38" t="s">
        <v>213</v>
      </c>
      <c r="E153" s="28" t="s">
        <v>44</v>
      </c>
      <c r="F153" s="58"/>
      <c r="G153" s="50">
        <f>G154+G155+G156</f>
        <v>11645.8</v>
      </c>
      <c r="H153" s="50"/>
      <c r="I153" s="5"/>
    </row>
    <row r="154" spans="1:9" s="4" customFormat="1" ht="58.5">
      <c r="A154" s="324" t="s">
        <v>415</v>
      </c>
      <c r="B154" s="29" t="s">
        <v>127</v>
      </c>
      <c r="C154" s="29" t="s">
        <v>115</v>
      </c>
      <c r="D154" s="38" t="s">
        <v>213</v>
      </c>
      <c r="E154" s="28" t="s">
        <v>44</v>
      </c>
      <c r="F154" s="58"/>
      <c r="G154" s="30">
        <f>'Прилож №5'!H130</f>
        <v>645.8000000000001</v>
      </c>
      <c r="H154" s="30"/>
      <c r="I154" s="5"/>
    </row>
    <row r="155" spans="1:9" s="4" customFormat="1" ht="58.5">
      <c r="A155" s="324" t="s">
        <v>275</v>
      </c>
      <c r="B155" s="29" t="s">
        <v>127</v>
      </c>
      <c r="C155" s="29" t="s">
        <v>115</v>
      </c>
      <c r="D155" s="38" t="s">
        <v>213</v>
      </c>
      <c r="E155" s="28" t="s">
        <v>44</v>
      </c>
      <c r="F155" s="58" t="s">
        <v>44</v>
      </c>
      <c r="G155" s="50">
        <f>'Прилож №5'!H129</f>
        <v>1000</v>
      </c>
      <c r="H155" s="50">
        <f>'Прилож №5'!I129</f>
        <v>0</v>
      </c>
      <c r="I155" s="5"/>
    </row>
    <row r="156" spans="1:9" s="4" customFormat="1" ht="30">
      <c r="A156" s="259" t="s">
        <v>448</v>
      </c>
      <c r="B156" s="29" t="s">
        <v>127</v>
      </c>
      <c r="C156" s="29" t="s">
        <v>115</v>
      </c>
      <c r="D156" s="38" t="s">
        <v>213</v>
      </c>
      <c r="E156" s="28" t="s">
        <v>44</v>
      </c>
      <c r="F156" s="56"/>
      <c r="G156" s="50">
        <f>'Прилож №5'!H131</f>
        <v>10000</v>
      </c>
      <c r="H156" s="50"/>
      <c r="I156" s="5"/>
    </row>
    <row r="157" spans="1:9" s="3" customFormat="1" ht="15.75">
      <c r="A157" s="53" t="s">
        <v>86</v>
      </c>
      <c r="B157" s="33" t="s">
        <v>127</v>
      </c>
      <c r="C157" s="33" t="s">
        <v>119</v>
      </c>
      <c r="D157" s="33"/>
      <c r="E157" s="154"/>
      <c r="F157" s="32"/>
      <c r="G157" s="34">
        <f>G163+G158</f>
        <v>74545</v>
      </c>
      <c r="H157" s="34">
        <f>H163+H158</f>
        <v>2840</v>
      </c>
      <c r="I157" s="5"/>
    </row>
    <row r="158" spans="1:9" s="3" customFormat="1" ht="15.75">
      <c r="A158" s="109" t="s">
        <v>86</v>
      </c>
      <c r="B158" s="29" t="s">
        <v>127</v>
      </c>
      <c r="C158" s="84" t="s">
        <v>119</v>
      </c>
      <c r="D158" s="38" t="s">
        <v>449</v>
      </c>
      <c r="E158" s="37"/>
      <c r="F158" s="251"/>
      <c r="G158" s="34">
        <f>G160+G162</f>
        <v>2840</v>
      </c>
      <c r="H158" s="34">
        <f>H160+H162</f>
        <v>2840</v>
      </c>
      <c r="I158" s="5"/>
    </row>
    <row r="159" spans="1:9" s="3" customFormat="1" ht="15.75">
      <c r="A159" s="109" t="s">
        <v>450</v>
      </c>
      <c r="B159" s="29" t="s">
        <v>127</v>
      </c>
      <c r="C159" s="84" t="s">
        <v>119</v>
      </c>
      <c r="D159" s="38" t="s">
        <v>451</v>
      </c>
      <c r="E159" s="37"/>
      <c r="F159" s="99"/>
      <c r="G159" s="34">
        <f>G160</f>
        <v>140</v>
      </c>
      <c r="H159" s="34">
        <f>H160</f>
        <v>140</v>
      </c>
      <c r="I159" s="5"/>
    </row>
    <row r="160" spans="1:9" s="3" customFormat="1" ht="15.75">
      <c r="A160" s="109" t="s">
        <v>94</v>
      </c>
      <c r="B160" s="29" t="s">
        <v>127</v>
      </c>
      <c r="C160" s="84" t="s">
        <v>119</v>
      </c>
      <c r="D160" s="38" t="s">
        <v>451</v>
      </c>
      <c r="E160" s="37" t="s">
        <v>158</v>
      </c>
      <c r="F160" s="58" t="s">
        <v>158</v>
      </c>
      <c r="G160" s="34">
        <f>'Прилож №5'!H135</f>
        <v>140</v>
      </c>
      <c r="H160" s="34">
        <f>'Прилож №5'!I135</f>
        <v>140</v>
      </c>
      <c r="I160" s="5"/>
    </row>
    <row r="161" spans="1:9" s="3" customFormat="1" ht="29.25">
      <c r="A161" s="113" t="s">
        <v>452</v>
      </c>
      <c r="B161" s="29" t="s">
        <v>127</v>
      </c>
      <c r="C161" s="84" t="s">
        <v>119</v>
      </c>
      <c r="D161" s="38" t="s">
        <v>453</v>
      </c>
      <c r="E161" s="65"/>
      <c r="F161" s="99"/>
      <c r="G161" s="34">
        <f>G162</f>
        <v>2700</v>
      </c>
      <c r="H161" s="34">
        <f>H162</f>
        <v>2700</v>
      </c>
      <c r="I161" s="5"/>
    </row>
    <row r="162" spans="1:9" s="3" customFormat="1" ht="15.75">
      <c r="A162" s="109" t="s">
        <v>94</v>
      </c>
      <c r="B162" s="29" t="s">
        <v>127</v>
      </c>
      <c r="C162" s="84" t="s">
        <v>119</v>
      </c>
      <c r="D162" s="38" t="s">
        <v>453</v>
      </c>
      <c r="E162" s="65" t="s">
        <v>158</v>
      </c>
      <c r="F162" s="132" t="s">
        <v>158</v>
      </c>
      <c r="G162" s="34">
        <f>'Прилож №5'!H137</f>
        <v>2700</v>
      </c>
      <c r="H162" s="34">
        <f>'Прилож №5'!I137</f>
        <v>2700</v>
      </c>
      <c r="I162" s="5"/>
    </row>
    <row r="163" spans="1:9" s="4" customFormat="1" ht="15.75">
      <c r="A163" s="109" t="s">
        <v>83</v>
      </c>
      <c r="B163" s="29" t="s">
        <v>127</v>
      </c>
      <c r="C163" s="29" t="s">
        <v>119</v>
      </c>
      <c r="D163" s="38" t="s">
        <v>84</v>
      </c>
      <c r="E163" s="131"/>
      <c r="F163" s="28"/>
      <c r="G163" s="30">
        <f>G164+G167</f>
        <v>71705</v>
      </c>
      <c r="H163" s="30">
        <f>H166</f>
        <v>0</v>
      </c>
      <c r="I163" s="5"/>
    </row>
    <row r="164" spans="1:9" s="4" customFormat="1" ht="29.25">
      <c r="A164" s="110" t="s">
        <v>261</v>
      </c>
      <c r="B164" s="29" t="s">
        <v>127</v>
      </c>
      <c r="C164" s="29" t="s">
        <v>119</v>
      </c>
      <c r="D164" s="38" t="s">
        <v>264</v>
      </c>
      <c r="E164" s="131"/>
      <c r="F164" s="28"/>
      <c r="G164" s="30">
        <f>G166+G165</f>
        <v>67585</v>
      </c>
      <c r="H164" s="30">
        <f>H166</f>
        <v>0</v>
      </c>
      <c r="I164" s="5"/>
    </row>
    <row r="165" spans="1:9" s="4" customFormat="1" ht="30">
      <c r="A165" s="259" t="s">
        <v>447</v>
      </c>
      <c r="B165" s="29" t="s">
        <v>127</v>
      </c>
      <c r="C165" s="29" t="s">
        <v>119</v>
      </c>
      <c r="D165" s="38" t="s">
        <v>264</v>
      </c>
      <c r="E165" s="28" t="s">
        <v>44</v>
      </c>
      <c r="F165" s="37"/>
      <c r="G165" s="39"/>
      <c r="H165" s="39"/>
      <c r="I165" s="5"/>
    </row>
    <row r="166" spans="1:9" s="4" customFormat="1" ht="15.75">
      <c r="A166" s="114" t="s">
        <v>94</v>
      </c>
      <c r="B166" s="38" t="s">
        <v>127</v>
      </c>
      <c r="C166" s="38" t="s">
        <v>119</v>
      </c>
      <c r="D166" s="38" t="s">
        <v>264</v>
      </c>
      <c r="E166" s="156" t="s">
        <v>158</v>
      </c>
      <c r="F166" s="37"/>
      <c r="G166" s="39">
        <f>'Прилож №5'!H140+'Прилож №5'!H475</f>
        <v>67585</v>
      </c>
      <c r="H166" s="39">
        <f>'Прилож №5'!I140</f>
        <v>0</v>
      </c>
      <c r="I166" s="5"/>
    </row>
    <row r="167" spans="1:9" s="4" customFormat="1" ht="47.25" customHeight="1">
      <c r="A167" s="167" t="s">
        <v>273</v>
      </c>
      <c r="B167" s="29" t="s">
        <v>127</v>
      </c>
      <c r="C167" s="29" t="s">
        <v>119</v>
      </c>
      <c r="D167" s="29" t="s">
        <v>274</v>
      </c>
      <c r="E167" s="131"/>
      <c r="F167" s="28"/>
      <c r="G167" s="30">
        <f>G168</f>
        <v>4120</v>
      </c>
      <c r="H167" s="30"/>
      <c r="I167" s="5"/>
    </row>
    <row r="168" spans="1:9" s="4" customFormat="1" ht="16.5" thickBot="1">
      <c r="A168" s="112" t="s">
        <v>94</v>
      </c>
      <c r="B168" s="194" t="s">
        <v>127</v>
      </c>
      <c r="C168" s="63" t="s">
        <v>119</v>
      </c>
      <c r="D168" s="63" t="s">
        <v>274</v>
      </c>
      <c r="E168" s="217" t="s">
        <v>158</v>
      </c>
      <c r="F168" s="43"/>
      <c r="G168" s="68">
        <f>'Прилож №5'!H142</f>
        <v>4120</v>
      </c>
      <c r="H168" s="68"/>
      <c r="I168" s="5"/>
    </row>
    <row r="169" spans="1:9" s="4" customFormat="1" ht="16.5" thickBot="1">
      <c r="A169" s="51" t="s">
        <v>31</v>
      </c>
      <c r="B169" s="80" t="s">
        <v>130</v>
      </c>
      <c r="C169" s="22"/>
      <c r="D169" s="22"/>
      <c r="E169" s="214"/>
      <c r="F169" s="52"/>
      <c r="G169" s="23">
        <f aca="true" t="shared" si="6" ref="G169:H172">G170</f>
        <v>1460</v>
      </c>
      <c r="H169" s="23">
        <f t="shared" si="6"/>
        <v>0</v>
      </c>
      <c r="I169" s="5"/>
    </row>
    <row r="170" spans="1:9" s="4" customFormat="1" ht="15.75">
      <c r="A170" s="15" t="s">
        <v>32</v>
      </c>
      <c r="B170" s="82" t="s">
        <v>130</v>
      </c>
      <c r="C170" s="59" t="s">
        <v>127</v>
      </c>
      <c r="D170" s="59"/>
      <c r="E170" s="215"/>
      <c r="F170" s="60"/>
      <c r="G170" s="61">
        <f t="shared" si="6"/>
        <v>1460</v>
      </c>
      <c r="H170" s="61">
        <f t="shared" si="6"/>
        <v>0</v>
      </c>
      <c r="I170" s="5"/>
    </row>
    <row r="171" spans="1:9" s="4" customFormat="1" ht="15.75">
      <c r="A171" s="108" t="s">
        <v>83</v>
      </c>
      <c r="B171" s="84" t="s">
        <v>130</v>
      </c>
      <c r="C171" s="29" t="s">
        <v>127</v>
      </c>
      <c r="D171" s="29" t="s">
        <v>84</v>
      </c>
      <c r="E171" s="131"/>
      <c r="F171" s="74"/>
      <c r="G171" s="30">
        <f t="shared" si="6"/>
        <v>1460</v>
      </c>
      <c r="H171" s="30">
        <f t="shared" si="6"/>
        <v>0</v>
      </c>
      <c r="I171" s="5"/>
    </row>
    <row r="172" spans="1:9" s="4" customFormat="1" ht="56.25" customHeight="1">
      <c r="A172" s="159" t="s">
        <v>311</v>
      </c>
      <c r="B172" s="91" t="s">
        <v>130</v>
      </c>
      <c r="C172" s="49" t="s">
        <v>127</v>
      </c>
      <c r="D172" s="38" t="s">
        <v>265</v>
      </c>
      <c r="E172" s="153"/>
      <c r="F172" s="62"/>
      <c r="G172" s="50">
        <f t="shared" si="6"/>
        <v>1460</v>
      </c>
      <c r="H172" s="50">
        <f t="shared" si="6"/>
        <v>0</v>
      </c>
      <c r="I172" s="5"/>
    </row>
    <row r="173" spans="1:9" s="4" customFormat="1" ht="16.5" thickBot="1">
      <c r="A173" s="114" t="s">
        <v>94</v>
      </c>
      <c r="B173" s="91" t="s">
        <v>130</v>
      </c>
      <c r="C173" s="194" t="s">
        <v>127</v>
      </c>
      <c r="D173" s="38" t="s">
        <v>265</v>
      </c>
      <c r="E173" s="217" t="s">
        <v>158</v>
      </c>
      <c r="F173" s="62"/>
      <c r="G173" s="50">
        <f>'Прилож №5'!H147+'Прилож №5'!H480</f>
        <v>1460</v>
      </c>
      <c r="H173" s="50">
        <f>'Прилож №5'!I147</f>
        <v>0</v>
      </c>
      <c r="I173" s="5"/>
    </row>
    <row r="174" spans="1:9" s="4" customFormat="1" ht="16.5" thickBot="1">
      <c r="A174" s="51" t="s">
        <v>4</v>
      </c>
      <c r="B174" s="22" t="s">
        <v>122</v>
      </c>
      <c r="C174" s="22"/>
      <c r="D174" s="22"/>
      <c r="E174" s="214"/>
      <c r="F174" s="52"/>
      <c r="G174" s="23">
        <f>G175+G194+G234+G257</f>
        <v>1110270.5</v>
      </c>
      <c r="H174" s="23">
        <f>H175+H194+H234+H257</f>
        <v>444748.5</v>
      </c>
      <c r="I174" s="5"/>
    </row>
    <row r="175" spans="1:9" s="4" customFormat="1" ht="15.75">
      <c r="A175" s="15" t="s">
        <v>5</v>
      </c>
      <c r="B175" s="95" t="s">
        <v>122</v>
      </c>
      <c r="C175" s="26" t="s">
        <v>114</v>
      </c>
      <c r="D175" s="26"/>
      <c r="E175" s="215"/>
      <c r="F175" s="25"/>
      <c r="G175" s="189">
        <f>G176+G182+G189</f>
        <v>441204.7</v>
      </c>
      <c r="H175" s="34">
        <f>H176+H182</f>
        <v>60840</v>
      </c>
      <c r="I175" s="5"/>
    </row>
    <row r="176" spans="1:9" s="4" customFormat="1" ht="15.75">
      <c r="A176" s="108" t="s">
        <v>6</v>
      </c>
      <c r="B176" s="89" t="s">
        <v>122</v>
      </c>
      <c r="C176" s="29" t="s">
        <v>114</v>
      </c>
      <c r="D176" s="29" t="s">
        <v>17</v>
      </c>
      <c r="E176" s="131"/>
      <c r="F176" s="28"/>
      <c r="G176" s="121">
        <f>G177+G179</f>
        <v>345854.9</v>
      </c>
      <c r="H176" s="30">
        <f>H177+H179</f>
        <v>90</v>
      </c>
      <c r="I176" s="5"/>
    </row>
    <row r="177" spans="1:9" s="4" customFormat="1" ht="30" customHeight="1">
      <c r="A177" s="184" t="s">
        <v>239</v>
      </c>
      <c r="B177" s="89" t="s">
        <v>122</v>
      </c>
      <c r="C177" s="29" t="s">
        <v>114</v>
      </c>
      <c r="D177" s="38" t="s">
        <v>241</v>
      </c>
      <c r="E177" s="131"/>
      <c r="F177" s="37"/>
      <c r="G177" s="121">
        <f>G178</f>
        <v>8765.5</v>
      </c>
      <c r="H177" s="30">
        <f>H178</f>
        <v>0</v>
      </c>
      <c r="I177" s="5"/>
    </row>
    <row r="178" spans="1:9" s="4" customFormat="1" ht="15.75">
      <c r="A178" s="185" t="s">
        <v>155</v>
      </c>
      <c r="B178" s="89" t="s">
        <v>122</v>
      </c>
      <c r="C178" s="29" t="s">
        <v>114</v>
      </c>
      <c r="D178" s="38" t="s">
        <v>241</v>
      </c>
      <c r="E178" s="131" t="s">
        <v>156</v>
      </c>
      <c r="F178" s="37"/>
      <c r="G178" s="121">
        <f>'Прилож №5'!H260</f>
        <v>8765.5</v>
      </c>
      <c r="H178" s="39">
        <f>'Прилож №5'!I260</f>
        <v>0</v>
      </c>
      <c r="I178" s="5"/>
    </row>
    <row r="179" spans="1:9" s="4" customFormat="1" ht="15.75">
      <c r="A179" s="47" t="s">
        <v>18</v>
      </c>
      <c r="B179" s="89" t="s">
        <v>122</v>
      </c>
      <c r="C179" s="38" t="s">
        <v>114</v>
      </c>
      <c r="D179" s="38" t="s">
        <v>132</v>
      </c>
      <c r="E179" s="131"/>
      <c r="F179" s="37"/>
      <c r="G179" s="121">
        <f>G181+G180</f>
        <v>337089.4</v>
      </c>
      <c r="H179" s="30">
        <f>H181+H180</f>
        <v>90</v>
      </c>
      <c r="I179" s="5"/>
    </row>
    <row r="180" spans="1:9" s="4" customFormat="1" ht="15.75">
      <c r="A180" s="114" t="s">
        <v>103</v>
      </c>
      <c r="B180" s="89" t="s">
        <v>122</v>
      </c>
      <c r="C180" s="38" t="s">
        <v>114</v>
      </c>
      <c r="D180" s="38" t="s">
        <v>132</v>
      </c>
      <c r="E180" s="131" t="s">
        <v>56</v>
      </c>
      <c r="F180" s="37"/>
      <c r="G180" s="121">
        <f>'Прилож №5'!H262</f>
        <v>14</v>
      </c>
      <c r="H180" s="50"/>
      <c r="I180" s="5"/>
    </row>
    <row r="181" spans="1:9" s="4" customFormat="1" ht="15.75">
      <c r="A181" s="108" t="s">
        <v>155</v>
      </c>
      <c r="B181" s="84" t="s">
        <v>122</v>
      </c>
      <c r="C181" s="29" t="s">
        <v>114</v>
      </c>
      <c r="D181" s="29" t="s">
        <v>132</v>
      </c>
      <c r="E181" s="131" t="s">
        <v>156</v>
      </c>
      <c r="F181" s="28"/>
      <c r="G181" s="121">
        <f>'Прилож №5'!H263</f>
        <v>337075.4</v>
      </c>
      <c r="H181" s="30">
        <f>'Прилож №5'!I263</f>
        <v>90</v>
      </c>
      <c r="I181" s="5"/>
    </row>
    <row r="182" spans="1:9" s="4" customFormat="1" ht="15.75">
      <c r="A182" s="112" t="s">
        <v>230</v>
      </c>
      <c r="B182" s="49" t="s">
        <v>122</v>
      </c>
      <c r="C182" s="91" t="s">
        <v>114</v>
      </c>
      <c r="D182" s="49" t="s">
        <v>229</v>
      </c>
      <c r="E182" s="48"/>
      <c r="F182" s="258"/>
      <c r="G182" s="120">
        <f>G186+G183</f>
        <v>60849.8</v>
      </c>
      <c r="H182" s="50">
        <f>H186</f>
        <v>60750</v>
      </c>
      <c r="I182" s="5"/>
    </row>
    <row r="183" spans="1:9" s="4" customFormat="1" ht="45.75" customHeight="1">
      <c r="A183" s="111" t="s">
        <v>390</v>
      </c>
      <c r="B183" s="49" t="s">
        <v>122</v>
      </c>
      <c r="C183" s="91" t="s">
        <v>114</v>
      </c>
      <c r="D183" s="49" t="s">
        <v>387</v>
      </c>
      <c r="E183" s="48"/>
      <c r="F183" s="258"/>
      <c r="G183" s="120">
        <f>G184</f>
        <v>99.8</v>
      </c>
      <c r="H183" s="50"/>
      <c r="I183" s="5"/>
    </row>
    <row r="184" spans="1:9" s="4" customFormat="1" ht="72">
      <c r="A184" s="111" t="s">
        <v>391</v>
      </c>
      <c r="B184" s="49" t="s">
        <v>122</v>
      </c>
      <c r="C184" s="91" t="s">
        <v>114</v>
      </c>
      <c r="D184" s="49" t="s">
        <v>389</v>
      </c>
      <c r="E184" s="48"/>
      <c r="F184" s="258"/>
      <c r="G184" s="120">
        <f>G185</f>
        <v>99.8</v>
      </c>
      <c r="H184" s="50"/>
      <c r="I184" s="5"/>
    </row>
    <row r="185" spans="1:9" s="4" customFormat="1" ht="15.75">
      <c r="A185" s="139" t="s">
        <v>326</v>
      </c>
      <c r="B185" s="49" t="s">
        <v>122</v>
      </c>
      <c r="C185" s="91" t="s">
        <v>114</v>
      </c>
      <c r="D185" s="49" t="s">
        <v>388</v>
      </c>
      <c r="E185" s="48" t="s">
        <v>323</v>
      </c>
      <c r="F185" s="258"/>
      <c r="G185" s="120">
        <f>'Прилож №5'!H267</f>
        <v>99.8</v>
      </c>
      <c r="H185" s="50"/>
      <c r="I185" s="5"/>
    </row>
    <row r="186" spans="1:9" s="4" customFormat="1" ht="43.5">
      <c r="A186" s="111" t="s">
        <v>296</v>
      </c>
      <c r="B186" s="49" t="s">
        <v>122</v>
      </c>
      <c r="C186" s="91" t="s">
        <v>114</v>
      </c>
      <c r="D186" s="49" t="s">
        <v>295</v>
      </c>
      <c r="E186" s="48"/>
      <c r="F186" s="88"/>
      <c r="G186" s="121">
        <f>G187</f>
        <v>60750</v>
      </c>
      <c r="H186" s="30">
        <f>H187</f>
        <v>60750</v>
      </c>
      <c r="I186" s="5"/>
    </row>
    <row r="187" spans="1:9" s="4" customFormat="1" ht="15.75">
      <c r="A187" s="110" t="s">
        <v>297</v>
      </c>
      <c r="B187" s="49" t="s">
        <v>122</v>
      </c>
      <c r="C187" s="91" t="s">
        <v>114</v>
      </c>
      <c r="D187" s="49" t="s">
        <v>295</v>
      </c>
      <c r="E187" s="48"/>
      <c r="F187" s="88"/>
      <c r="G187" s="121">
        <f>G188</f>
        <v>60750</v>
      </c>
      <c r="H187" s="30">
        <f>H188</f>
        <v>60750</v>
      </c>
      <c r="I187" s="5"/>
    </row>
    <row r="188" spans="1:9" s="4" customFormat="1" ht="43.5">
      <c r="A188" s="110" t="s">
        <v>444</v>
      </c>
      <c r="B188" s="49" t="s">
        <v>122</v>
      </c>
      <c r="C188" s="91" t="s">
        <v>114</v>
      </c>
      <c r="D188" s="49" t="s">
        <v>295</v>
      </c>
      <c r="E188" s="48" t="s">
        <v>429</v>
      </c>
      <c r="F188" s="88" t="s">
        <v>44</v>
      </c>
      <c r="G188" s="121">
        <f>'Прилож №5'!H153</f>
        <v>60750</v>
      </c>
      <c r="H188" s="39">
        <f>'Прилож №5'!I153</f>
        <v>60750</v>
      </c>
      <c r="I188" s="5"/>
    </row>
    <row r="189" spans="1:9" s="4" customFormat="1" ht="15.75">
      <c r="A189" s="108" t="s">
        <v>83</v>
      </c>
      <c r="B189" s="49" t="s">
        <v>122</v>
      </c>
      <c r="C189" s="91" t="s">
        <v>114</v>
      </c>
      <c r="D189" s="38" t="s">
        <v>84</v>
      </c>
      <c r="E189" s="48"/>
      <c r="F189" s="58"/>
      <c r="G189" s="121">
        <f>G190</f>
        <v>34500</v>
      </c>
      <c r="H189" s="39"/>
      <c r="I189" s="5"/>
    </row>
    <row r="190" spans="1:9" s="4" customFormat="1" ht="29.25">
      <c r="A190" s="167" t="s">
        <v>302</v>
      </c>
      <c r="B190" s="137" t="s">
        <v>122</v>
      </c>
      <c r="C190" s="140" t="s">
        <v>114</v>
      </c>
      <c r="D190" s="29" t="s">
        <v>267</v>
      </c>
      <c r="E190" s="48"/>
      <c r="F190" s="58"/>
      <c r="G190" s="121">
        <f>G191+G192+G193</f>
        <v>34500</v>
      </c>
      <c r="H190" s="39"/>
      <c r="I190" s="5"/>
    </row>
    <row r="191" spans="1:9" s="4" customFormat="1" ht="43.5">
      <c r="A191" s="110" t="s">
        <v>444</v>
      </c>
      <c r="B191" s="137" t="s">
        <v>122</v>
      </c>
      <c r="C191" s="140" t="s">
        <v>114</v>
      </c>
      <c r="D191" s="29" t="s">
        <v>267</v>
      </c>
      <c r="E191" s="48" t="s">
        <v>44</v>
      </c>
      <c r="F191" s="144" t="s">
        <v>44</v>
      </c>
      <c r="G191" s="121">
        <f>'Прилож №5'!H156</f>
        <v>22000</v>
      </c>
      <c r="H191" s="39"/>
      <c r="I191" s="5"/>
    </row>
    <row r="192" spans="1:9" s="4" customFormat="1" ht="44.25">
      <c r="A192" s="71" t="s">
        <v>446</v>
      </c>
      <c r="B192" s="137" t="s">
        <v>122</v>
      </c>
      <c r="C192" s="140" t="s">
        <v>114</v>
      </c>
      <c r="D192" s="29" t="s">
        <v>267</v>
      </c>
      <c r="E192" s="48" t="s">
        <v>44</v>
      </c>
      <c r="F192" s="333"/>
      <c r="G192" s="121">
        <f>'Прилож №5'!H157</f>
        <v>10000</v>
      </c>
      <c r="H192" s="39"/>
      <c r="I192" s="5"/>
    </row>
    <row r="193" spans="1:9" s="4" customFormat="1" ht="58.5">
      <c r="A193" s="71" t="s">
        <v>470</v>
      </c>
      <c r="B193" s="137" t="s">
        <v>122</v>
      </c>
      <c r="C193" s="140" t="s">
        <v>114</v>
      </c>
      <c r="D193" s="29" t="s">
        <v>267</v>
      </c>
      <c r="E193" s="48" t="s">
        <v>44</v>
      </c>
      <c r="F193" s="333"/>
      <c r="G193" s="121">
        <f>'Прилож №5'!H158</f>
        <v>2500</v>
      </c>
      <c r="H193" s="39"/>
      <c r="I193" s="5"/>
    </row>
    <row r="194" spans="1:9" s="4" customFormat="1" ht="15.75">
      <c r="A194" s="53" t="s">
        <v>7</v>
      </c>
      <c r="B194" s="96" t="s">
        <v>122</v>
      </c>
      <c r="C194" s="64" t="s">
        <v>115</v>
      </c>
      <c r="D194" s="33"/>
      <c r="E194" s="154"/>
      <c r="F194" s="65"/>
      <c r="G194" s="164">
        <f>G195+G210+G223+G217</f>
        <v>533228.2</v>
      </c>
      <c r="H194" s="210">
        <f>H195+H210+H223+H217</f>
        <v>356903</v>
      </c>
      <c r="I194" s="5"/>
    </row>
    <row r="195" spans="1:9" s="4" customFormat="1" ht="33.75" customHeight="1">
      <c r="A195" s="113" t="s">
        <v>190</v>
      </c>
      <c r="B195" s="84" t="s">
        <v>122</v>
      </c>
      <c r="C195" s="29" t="s">
        <v>115</v>
      </c>
      <c r="D195" s="29" t="s">
        <v>19</v>
      </c>
      <c r="E195" s="156"/>
      <c r="F195" s="37"/>
      <c r="G195" s="165">
        <f>G196+G200+G205+G207+G203</f>
        <v>390800.5</v>
      </c>
      <c r="H195" s="30">
        <f>H196+H200+H205+H207+H203</f>
        <v>321948</v>
      </c>
      <c r="I195" s="1"/>
    </row>
    <row r="196" spans="1:9" s="4" customFormat="1" ht="144.75" customHeight="1">
      <c r="A196" s="113" t="s">
        <v>335</v>
      </c>
      <c r="B196" s="38" t="s">
        <v>122</v>
      </c>
      <c r="C196" s="38" t="s">
        <v>115</v>
      </c>
      <c r="D196" s="38" t="s">
        <v>328</v>
      </c>
      <c r="E196" s="38"/>
      <c r="F196" s="69"/>
      <c r="G196" s="39">
        <f>G198+G199+G197</f>
        <v>296227.8</v>
      </c>
      <c r="H196" s="39">
        <f>H198+H199+H197</f>
        <v>296209</v>
      </c>
      <c r="I196" s="1"/>
    </row>
    <row r="197" spans="1:9" s="4" customFormat="1" ht="20.25" customHeight="1">
      <c r="A197" s="185" t="s">
        <v>155</v>
      </c>
      <c r="B197" s="38" t="s">
        <v>122</v>
      </c>
      <c r="C197" s="38" t="s">
        <v>115</v>
      </c>
      <c r="D197" s="38" t="s">
        <v>328</v>
      </c>
      <c r="E197" s="37" t="s">
        <v>156</v>
      </c>
      <c r="F197" s="69" t="s">
        <v>156</v>
      </c>
      <c r="G197" s="39">
        <f>'Прилож №5'!H271</f>
        <v>777</v>
      </c>
      <c r="H197" s="39">
        <f>'Прилож №5'!I271</f>
        <v>777</v>
      </c>
      <c r="I197" s="1"/>
    </row>
    <row r="198" spans="1:9" s="4" customFormat="1" ht="16.5" customHeight="1">
      <c r="A198" s="270" t="s">
        <v>326</v>
      </c>
      <c r="B198" s="38" t="s">
        <v>122</v>
      </c>
      <c r="C198" s="38" t="s">
        <v>115</v>
      </c>
      <c r="D198" s="38" t="s">
        <v>328</v>
      </c>
      <c r="E198" s="38" t="s">
        <v>323</v>
      </c>
      <c r="F198" s="69" t="s">
        <v>323</v>
      </c>
      <c r="G198" s="30">
        <f>'Прилож №5'!H272</f>
        <v>54366.8</v>
      </c>
      <c r="H198" s="30">
        <f>'Прилож №5'!I272</f>
        <v>54348</v>
      </c>
      <c r="I198" s="1"/>
    </row>
    <row r="199" spans="1:9" s="4" customFormat="1" ht="17.25" customHeight="1">
      <c r="A199" s="270" t="s">
        <v>327</v>
      </c>
      <c r="B199" s="38" t="s">
        <v>122</v>
      </c>
      <c r="C199" s="38" t="s">
        <v>115</v>
      </c>
      <c r="D199" s="38" t="s">
        <v>328</v>
      </c>
      <c r="E199" s="38" t="s">
        <v>324</v>
      </c>
      <c r="F199" s="69" t="s">
        <v>324</v>
      </c>
      <c r="G199" s="30">
        <f>'Прилож №5'!H273</f>
        <v>241084</v>
      </c>
      <c r="H199" s="30">
        <f>'Прилож №5'!I273</f>
        <v>241084</v>
      </c>
      <c r="I199" s="1"/>
    </row>
    <row r="200" spans="1:9" s="4" customFormat="1" ht="65.25" customHeight="1">
      <c r="A200" s="201" t="s">
        <v>334</v>
      </c>
      <c r="B200" s="38" t="s">
        <v>122</v>
      </c>
      <c r="C200" s="38" t="s">
        <v>115</v>
      </c>
      <c r="D200" s="38" t="s">
        <v>331</v>
      </c>
      <c r="E200" s="38"/>
      <c r="F200" s="69"/>
      <c r="G200" s="30">
        <f>G201+G202</f>
        <v>16519.199999999997</v>
      </c>
      <c r="H200" s="30">
        <f>H201+H202</f>
        <v>16519</v>
      </c>
      <c r="I200" s="1"/>
    </row>
    <row r="201" spans="1:9" s="4" customFormat="1" ht="16.5" customHeight="1">
      <c r="A201" s="270" t="s">
        <v>326</v>
      </c>
      <c r="B201" s="38" t="s">
        <v>122</v>
      </c>
      <c r="C201" s="38" t="s">
        <v>115</v>
      </c>
      <c r="D201" s="38" t="s">
        <v>331</v>
      </c>
      <c r="E201" s="38" t="s">
        <v>323</v>
      </c>
      <c r="F201" s="69" t="s">
        <v>323</v>
      </c>
      <c r="G201" s="30">
        <f>'Прилож №5'!H277</f>
        <v>3345.3999999999996</v>
      </c>
      <c r="H201" s="30">
        <f>'Прилож №5'!I277</f>
        <v>3345.2</v>
      </c>
      <c r="I201" s="1"/>
    </row>
    <row r="202" spans="1:9" s="4" customFormat="1" ht="18" customHeight="1">
      <c r="A202" s="270" t="s">
        <v>327</v>
      </c>
      <c r="B202" s="38" t="s">
        <v>122</v>
      </c>
      <c r="C202" s="38" t="s">
        <v>115</v>
      </c>
      <c r="D202" s="38" t="s">
        <v>331</v>
      </c>
      <c r="E202" s="38" t="s">
        <v>324</v>
      </c>
      <c r="F202" s="69" t="s">
        <v>324</v>
      </c>
      <c r="G202" s="30">
        <f>'Прилож №5'!H278</f>
        <v>13173.8</v>
      </c>
      <c r="H202" s="30">
        <f>'Прилож №5'!I278</f>
        <v>13173.8</v>
      </c>
      <c r="I202" s="1"/>
    </row>
    <row r="203" spans="1:9" s="4" customFormat="1" ht="144.75" customHeight="1">
      <c r="A203" s="113" t="s">
        <v>381</v>
      </c>
      <c r="B203" s="38" t="s">
        <v>122</v>
      </c>
      <c r="C203" s="38" t="s">
        <v>115</v>
      </c>
      <c r="D203" s="38" t="s">
        <v>380</v>
      </c>
      <c r="E203" s="37"/>
      <c r="F203" s="69"/>
      <c r="G203" s="30">
        <f>G204</f>
        <v>8250</v>
      </c>
      <c r="H203" s="30">
        <f>H204</f>
        <v>8250</v>
      </c>
      <c r="I203" s="1"/>
    </row>
    <row r="204" spans="1:9" s="4" customFormat="1" ht="17.25" customHeight="1">
      <c r="A204" s="270" t="s">
        <v>330</v>
      </c>
      <c r="B204" s="38" t="s">
        <v>122</v>
      </c>
      <c r="C204" s="38" t="s">
        <v>115</v>
      </c>
      <c r="D204" s="38" t="s">
        <v>380</v>
      </c>
      <c r="E204" s="37" t="s">
        <v>329</v>
      </c>
      <c r="F204" s="69" t="s">
        <v>329</v>
      </c>
      <c r="G204" s="30">
        <f>'Прилож №5'!H275</f>
        <v>8250</v>
      </c>
      <c r="H204" s="30">
        <f>'Прилож №5'!I275</f>
        <v>8250</v>
      </c>
      <c r="I204" s="1"/>
    </row>
    <row r="205" spans="1:9" s="4" customFormat="1" ht="35.25" customHeight="1">
      <c r="A205" s="184" t="s">
        <v>239</v>
      </c>
      <c r="B205" s="89" t="s">
        <v>122</v>
      </c>
      <c r="C205" s="38" t="s">
        <v>115</v>
      </c>
      <c r="D205" s="38" t="s">
        <v>242</v>
      </c>
      <c r="E205" s="29"/>
      <c r="F205" s="56"/>
      <c r="G205" s="30">
        <f>G206</f>
        <v>5020.2</v>
      </c>
      <c r="H205" s="30">
        <f>H206</f>
        <v>0</v>
      </c>
      <c r="I205" s="1"/>
    </row>
    <row r="206" spans="1:9" s="4" customFormat="1" ht="18" customHeight="1">
      <c r="A206" s="185" t="s">
        <v>155</v>
      </c>
      <c r="B206" s="89" t="s">
        <v>122</v>
      </c>
      <c r="C206" s="38" t="s">
        <v>115</v>
      </c>
      <c r="D206" s="38" t="s">
        <v>242</v>
      </c>
      <c r="E206" s="217" t="s">
        <v>156</v>
      </c>
      <c r="F206" s="57" t="s">
        <v>156</v>
      </c>
      <c r="G206" s="272">
        <f>'Прилож №5'!H280</f>
        <v>5020.2</v>
      </c>
      <c r="H206" s="68">
        <f>'Прилож №5'!I280</f>
        <v>0</v>
      </c>
      <c r="I206" s="1"/>
    </row>
    <row r="207" spans="1:9" s="4" customFormat="1" ht="15.75">
      <c r="A207" s="47" t="s">
        <v>18</v>
      </c>
      <c r="B207" s="84" t="s">
        <v>122</v>
      </c>
      <c r="C207" s="29" t="s">
        <v>115</v>
      </c>
      <c r="D207" s="29" t="s">
        <v>133</v>
      </c>
      <c r="E207" s="131"/>
      <c r="F207" s="28"/>
      <c r="G207" s="121">
        <f>G209+G208</f>
        <v>64783.3</v>
      </c>
      <c r="H207" s="30">
        <f>H209+H208</f>
        <v>970</v>
      </c>
      <c r="I207" s="1"/>
    </row>
    <row r="208" spans="1:9" s="4" customFormat="1" ht="15.75">
      <c r="A208" s="114" t="s">
        <v>103</v>
      </c>
      <c r="B208" s="84" t="s">
        <v>122</v>
      </c>
      <c r="C208" s="29" t="s">
        <v>115</v>
      </c>
      <c r="D208" s="29" t="s">
        <v>133</v>
      </c>
      <c r="E208" s="131" t="s">
        <v>56</v>
      </c>
      <c r="F208" s="28"/>
      <c r="G208" s="121">
        <f>'Прилож №5'!H282</f>
        <v>441.3</v>
      </c>
      <c r="H208" s="30">
        <f>'Прилож №5'!I282</f>
        <v>0</v>
      </c>
      <c r="I208" s="1"/>
    </row>
    <row r="209" spans="1:9" s="4" customFormat="1" ht="15.75">
      <c r="A209" s="185" t="s">
        <v>155</v>
      </c>
      <c r="B209" s="140" t="s">
        <v>122</v>
      </c>
      <c r="C209" s="137" t="s">
        <v>115</v>
      </c>
      <c r="D209" s="137" t="s">
        <v>133</v>
      </c>
      <c r="E209" s="218" t="s">
        <v>156</v>
      </c>
      <c r="F209" s="138"/>
      <c r="G209" s="190">
        <f>'Прилож №5'!H283</f>
        <v>64342</v>
      </c>
      <c r="H209" s="237">
        <f>'Прилож №5'!I283</f>
        <v>970</v>
      </c>
      <c r="I209" s="1"/>
    </row>
    <row r="210" spans="1:9" s="4" customFormat="1" ht="15.75">
      <c r="A210" s="108" t="s">
        <v>21</v>
      </c>
      <c r="B210" s="84" t="s">
        <v>122</v>
      </c>
      <c r="C210" s="29" t="s">
        <v>115</v>
      </c>
      <c r="D210" s="29" t="s">
        <v>22</v>
      </c>
      <c r="E210" s="131"/>
      <c r="F210" s="28"/>
      <c r="G210" s="121">
        <f>G211+G214</f>
        <v>107732.70000000001</v>
      </c>
      <c r="H210" s="30">
        <f>H211+H214</f>
        <v>260</v>
      </c>
      <c r="I210" s="1"/>
    </row>
    <row r="211" spans="1:9" s="4" customFormat="1" ht="33" customHeight="1">
      <c r="A211" s="184" t="s">
        <v>239</v>
      </c>
      <c r="B211" s="84" t="s">
        <v>122</v>
      </c>
      <c r="C211" s="29" t="s">
        <v>115</v>
      </c>
      <c r="D211" s="29" t="s">
        <v>243</v>
      </c>
      <c r="E211" s="131"/>
      <c r="F211" s="56"/>
      <c r="G211" s="121">
        <f>G213+G212</f>
        <v>532.7</v>
      </c>
      <c r="H211" s="30">
        <f>H213</f>
        <v>0</v>
      </c>
      <c r="I211" s="1"/>
    </row>
    <row r="212" spans="1:9" s="4" customFormat="1" ht="15.75">
      <c r="A212" s="114" t="s">
        <v>103</v>
      </c>
      <c r="B212" s="84" t="s">
        <v>122</v>
      </c>
      <c r="C212" s="29" t="s">
        <v>115</v>
      </c>
      <c r="D212" s="29" t="s">
        <v>243</v>
      </c>
      <c r="E212" s="131" t="s">
        <v>56</v>
      </c>
      <c r="F212" s="56"/>
      <c r="G212" s="121">
        <f>'Прилож №5'!H353</f>
        <v>0</v>
      </c>
      <c r="H212" s="30"/>
      <c r="I212" s="1"/>
    </row>
    <row r="213" spans="1:9" s="4" customFormat="1" ht="15.75">
      <c r="A213" s="185" t="s">
        <v>155</v>
      </c>
      <c r="B213" s="84" t="s">
        <v>122</v>
      </c>
      <c r="C213" s="29" t="s">
        <v>115</v>
      </c>
      <c r="D213" s="29" t="s">
        <v>243</v>
      </c>
      <c r="E213" s="131" t="s">
        <v>156</v>
      </c>
      <c r="F213" s="56" t="s">
        <v>156</v>
      </c>
      <c r="G213" s="121">
        <f>'Прилож №5'!H286+'Прилож №5'!H354</f>
        <v>532.7</v>
      </c>
      <c r="H213" s="30">
        <f>'Прилож №5'!I286+'Прилож №5'!I354</f>
        <v>0</v>
      </c>
      <c r="I213" s="1"/>
    </row>
    <row r="214" spans="1:9" s="4" customFormat="1" ht="15.75">
      <c r="A214" s="108" t="s">
        <v>18</v>
      </c>
      <c r="B214" s="84" t="s">
        <v>122</v>
      </c>
      <c r="C214" s="29" t="s">
        <v>115</v>
      </c>
      <c r="D214" s="29" t="s">
        <v>134</v>
      </c>
      <c r="E214" s="131"/>
      <c r="F214" s="28"/>
      <c r="G214" s="121">
        <f>G216+G215</f>
        <v>107200.00000000001</v>
      </c>
      <c r="H214" s="30">
        <f>H216</f>
        <v>260</v>
      </c>
      <c r="I214" s="1"/>
    </row>
    <row r="215" spans="1:9" s="4" customFormat="1" ht="15.75">
      <c r="A215" s="114" t="s">
        <v>103</v>
      </c>
      <c r="B215" s="84" t="s">
        <v>122</v>
      </c>
      <c r="C215" s="29" t="s">
        <v>115</v>
      </c>
      <c r="D215" s="29" t="s">
        <v>134</v>
      </c>
      <c r="E215" s="131" t="s">
        <v>56</v>
      </c>
      <c r="F215" s="28"/>
      <c r="G215" s="121">
        <f>'Прилож №5'!H288+'Прилож №5'!H356</f>
        <v>34.6</v>
      </c>
      <c r="H215" s="39"/>
      <c r="I215" s="1"/>
    </row>
    <row r="216" spans="1:9" s="4" customFormat="1" ht="15.75">
      <c r="A216" s="185" t="s">
        <v>155</v>
      </c>
      <c r="B216" s="84" t="s">
        <v>122</v>
      </c>
      <c r="C216" s="29" t="s">
        <v>115</v>
      </c>
      <c r="D216" s="29" t="s">
        <v>134</v>
      </c>
      <c r="E216" s="131" t="s">
        <v>156</v>
      </c>
      <c r="F216" s="28"/>
      <c r="G216" s="121">
        <f>'Прилож №5'!H289+'Прилож №5'!H357</f>
        <v>107165.40000000001</v>
      </c>
      <c r="H216" s="39">
        <f>'Прилож №5'!I289+'Прилож №5'!I357</f>
        <v>260</v>
      </c>
      <c r="I216" s="1"/>
    </row>
    <row r="217" spans="1:9" s="4" customFormat="1" ht="15.75">
      <c r="A217" s="270" t="s">
        <v>325</v>
      </c>
      <c r="B217" s="29" t="s">
        <v>122</v>
      </c>
      <c r="C217" s="29" t="s">
        <v>115</v>
      </c>
      <c r="D217" s="38" t="s">
        <v>322</v>
      </c>
      <c r="E217" s="43"/>
      <c r="F217" s="69"/>
      <c r="G217" s="121">
        <f>G218+G221</f>
        <v>27930</v>
      </c>
      <c r="H217" s="30">
        <f>H218+H221</f>
        <v>27930</v>
      </c>
      <c r="I217" s="1"/>
    </row>
    <row r="218" spans="1:9" s="4" customFormat="1" ht="29.25">
      <c r="A218" s="201" t="s">
        <v>436</v>
      </c>
      <c r="B218" s="29" t="s">
        <v>122</v>
      </c>
      <c r="C218" s="29" t="s">
        <v>115</v>
      </c>
      <c r="D218" s="38" t="s">
        <v>435</v>
      </c>
      <c r="E218" s="29"/>
      <c r="F218" s="69"/>
      <c r="G218" s="121">
        <f>G219+G220</f>
        <v>263</v>
      </c>
      <c r="H218" s="50">
        <f>H219+H220</f>
        <v>263</v>
      </c>
      <c r="I218" s="1"/>
    </row>
    <row r="219" spans="1:9" s="4" customFormat="1" ht="15.75">
      <c r="A219" s="270" t="s">
        <v>326</v>
      </c>
      <c r="B219" s="29" t="s">
        <v>122</v>
      </c>
      <c r="C219" s="29" t="s">
        <v>115</v>
      </c>
      <c r="D219" s="38" t="s">
        <v>435</v>
      </c>
      <c r="E219" s="43" t="s">
        <v>323</v>
      </c>
      <c r="F219" s="69" t="s">
        <v>323</v>
      </c>
      <c r="G219" s="121">
        <f>'Прилож №5'!H292</f>
        <v>105</v>
      </c>
      <c r="H219" s="30">
        <f>'Прилож №5'!I292</f>
        <v>105</v>
      </c>
      <c r="I219" s="1"/>
    </row>
    <row r="220" spans="1:9" s="4" customFormat="1" ht="15.75">
      <c r="A220" s="270" t="s">
        <v>327</v>
      </c>
      <c r="B220" s="29" t="s">
        <v>122</v>
      </c>
      <c r="C220" s="29" t="s">
        <v>115</v>
      </c>
      <c r="D220" s="38" t="s">
        <v>435</v>
      </c>
      <c r="E220" s="29" t="s">
        <v>324</v>
      </c>
      <c r="F220" s="69" t="s">
        <v>324</v>
      </c>
      <c r="G220" s="121">
        <f>'Прилож №5'!H293</f>
        <v>158</v>
      </c>
      <c r="H220" s="30">
        <f>'Прилож №5'!I293</f>
        <v>158</v>
      </c>
      <c r="I220" s="1"/>
    </row>
    <row r="221" spans="1:9" s="4" customFormat="1" ht="15.75">
      <c r="A221" s="139" t="s">
        <v>414</v>
      </c>
      <c r="B221" s="29" t="s">
        <v>122</v>
      </c>
      <c r="C221" s="29" t="s">
        <v>115</v>
      </c>
      <c r="D221" s="38" t="s">
        <v>413</v>
      </c>
      <c r="E221" s="29"/>
      <c r="F221" s="69"/>
      <c r="G221" s="121">
        <f>G222</f>
        <v>27667</v>
      </c>
      <c r="H221" s="30">
        <f>H222</f>
        <v>27667</v>
      </c>
      <c r="I221" s="1"/>
    </row>
    <row r="222" spans="1:9" s="4" customFormat="1" ht="15.75">
      <c r="A222" s="186" t="s">
        <v>330</v>
      </c>
      <c r="B222" s="29" t="s">
        <v>122</v>
      </c>
      <c r="C222" s="29" t="s">
        <v>115</v>
      </c>
      <c r="D222" s="38" t="s">
        <v>413</v>
      </c>
      <c r="E222" s="43" t="s">
        <v>329</v>
      </c>
      <c r="F222" s="69" t="s">
        <v>158</v>
      </c>
      <c r="G222" s="121">
        <f>'Прилож №5'!H295</f>
        <v>27667</v>
      </c>
      <c r="H222" s="30">
        <f>'Прилож №5'!I295</f>
        <v>27667</v>
      </c>
      <c r="I222" s="1"/>
    </row>
    <row r="223" spans="1:9" s="4" customFormat="1" ht="15.75">
      <c r="A223" s="109" t="s">
        <v>79</v>
      </c>
      <c r="B223" s="84" t="s">
        <v>122</v>
      </c>
      <c r="C223" s="29" t="s">
        <v>115</v>
      </c>
      <c r="D223" s="29" t="s">
        <v>63</v>
      </c>
      <c r="E223" s="131"/>
      <c r="F223" s="148"/>
      <c r="G223" s="121">
        <f>G224+G227</f>
        <v>6765</v>
      </c>
      <c r="H223" s="30">
        <f>H224+H227</f>
        <v>6765</v>
      </c>
      <c r="I223" s="1"/>
    </row>
    <row r="224" spans="1:9" s="4" customFormat="1" ht="29.25">
      <c r="A224" s="113" t="s">
        <v>187</v>
      </c>
      <c r="B224" s="91" t="s">
        <v>122</v>
      </c>
      <c r="C224" s="29" t="s">
        <v>115</v>
      </c>
      <c r="D224" s="49" t="s">
        <v>188</v>
      </c>
      <c r="E224" s="131"/>
      <c r="F224" s="149"/>
      <c r="G224" s="120">
        <f>G225+G226</f>
        <v>4765</v>
      </c>
      <c r="H224" s="50">
        <f>H225+H226</f>
        <v>4765</v>
      </c>
      <c r="I224" s="1"/>
    </row>
    <row r="225" spans="1:9" s="4" customFormat="1" ht="15.75">
      <c r="A225" s="270" t="s">
        <v>326</v>
      </c>
      <c r="B225" s="84" t="s">
        <v>122</v>
      </c>
      <c r="C225" s="29" t="s">
        <v>115</v>
      </c>
      <c r="D225" s="29" t="s">
        <v>188</v>
      </c>
      <c r="E225" s="131" t="s">
        <v>323</v>
      </c>
      <c r="F225" s="148"/>
      <c r="G225" s="121">
        <f>'Прилож №5'!H298</f>
        <v>822.2</v>
      </c>
      <c r="H225" s="39">
        <f>'Прилож №5'!I298</f>
        <v>822.2</v>
      </c>
      <c r="I225" s="1"/>
    </row>
    <row r="226" spans="1:9" s="4" customFormat="1" ht="15.75">
      <c r="A226" s="139" t="s">
        <v>327</v>
      </c>
      <c r="B226" s="84" t="s">
        <v>122</v>
      </c>
      <c r="C226" s="29" t="s">
        <v>115</v>
      </c>
      <c r="D226" s="29" t="s">
        <v>188</v>
      </c>
      <c r="E226" s="131" t="s">
        <v>324</v>
      </c>
      <c r="F226" s="148"/>
      <c r="G226" s="165">
        <f>'Прилож №5'!H299</f>
        <v>3942.8</v>
      </c>
      <c r="H226" s="39">
        <f>'Прилож №5'!I299</f>
        <v>3942.8</v>
      </c>
      <c r="I226" s="1"/>
    </row>
    <row r="227" spans="1:9" s="4" customFormat="1" ht="15.75">
      <c r="A227" s="112" t="s">
        <v>230</v>
      </c>
      <c r="B227" s="84" t="s">
        <v>122</v>
      </c>
      <c r="C227" s="29" t="s">
        <v>115</v>
      </c>
      <c r="D227" s="135" t="s">
        <v>229</v>
      </c>
      <c r="E227" s="131"/>
      <c r="F227" s="148"/>
      <c r="G227" s="121">
        <f>G228+G231</f>
        <v>2000</v>
      </c>
      <c r="H227" s="30">
        <f>H228+H231</f>
        <v>2000</v>
      </c>
      <c r="I227" s="1"/>
    </row>
    <row r="228" spans="1:9" s="4" customFormat="1" ht="43.5">
      <c r="A228" s="201" t="s">
        <v>390</v>
      </c>
      <c r="B228" s="84" t="s">
        <v>122</v>
      </c>
      <c r="C228" s="29" t="s">
        <v>115</v>
      </c>
      <c r="D228" s="135" t="s">
        <v>387</v>
      </c>
      <c r="E228" s="131"/>
      <c r="F228" s="148"/>
      <c r="G228" s="121">
        <f>G229</f>
        <v>1000</v>
      </c>
      <c r="H228" s="30">
        <f>H229</f>
        <v>1000</v>
      </c>
      <c r="I228" s="1"/>
    </row>
    <row r="229" spans="1:9" s="4" customFormat="1" ht="72">
      <c r="A229" s="201" t="s">
        <v>409</v>
      </c>
      <c r="B229" s="84" t="s">
        <v>122</v>
      </c>
      <c r="C229" s="29" t="s">
        <v>115</v>
      </c>
      <c r="D229" s="135" t="s">
        <v>408</v>
      </c>
      <c r="E229" s="131"/>
      <c r="F229" s="148"/>
      <c r="G229" s="121">
        <f>G230</f>
        <v>1000</v>
      </c>
      <c r="H229" s="30">
        <f>H230</f>
        <v>1000</v>
      </c>
      <c r="I229" s="1"/>
    </row>
    <row r="230" spans="1:9" s="4" customFormat="1" ht="15.75">
      <c r="A230" s="139" t="s">
        <v>330</v>
      </c>
      <c r="B230" s="84" t="s">
        <v>122</v>
      </c>
      <c r="C230" s="29" t="s">
        <v>115</v>
      </c>
      <c r="D230" s="135" t="s">
        <v>408</v>
      </c>
      <c r="E230" s="271" t="s">
        <v>329</v>
      </c>
      <c r="F230" s="148"/>
      <c r="G230" s="121">
        <f>'Прилож №5'!H303</f>
        <v>1000</v>
      </c>
      <c r="H230" s="30">
        <f>'Прилож №5'!I303</f>
        <v>1000</v>
      </c>
      <c r="I230" s="1"/>
    </row>
    <row r="231" spans="1:9" s="4" customFormat="1" ht="57.75">
      <c r="A231" s="201" t="s">
        <v>411</v>
      </c>
      <c r="B231" s="84" t="s">
        <v>122</v>
      </c>
      <c r="C231" s="29" t="s">
        <v>115</v>
      </c>
      <c r="D231" s="135" t="s">
        <v>410</v>
      </c>
      <c r="E231" s="271"/>
      <c r="F231" s="148"/>
      <c r="G231" s="121">
        <f>G232</f>
        <v>1000</v>
      </c>
      <c r="H231" s="30">
        <f>H232</f>
        <v>1000</v>
      </c>
      <c r="I231" s="1"/>
    </row>
    <row r="232" spans="1:9" s="4" customFormat="1" ht="72">
      <c r="A232" s="201" t="s">
        <v>416</v>
      </c>
      <c r="B232" s="84" t="s">
        <v>122</v>
      </c>
      <c r="C232" s="29" t="s">
        <v>115</v>
      </c>
      <c r="D232" s="135" t="s">
        <v>412</v>
      </c>
      <c r="E232" s="271"/>
      <c r="F232" s="148"/>
      <c r="G232" s="121">
        <f>G233</f>
        <v>1000</v>
      </c>
      <c r="H232" s="30">
        <f>H233</f>
        <v>1000</v>
      </c>
      <c r="I232" s="1"/>
    </row>
    <row r="233" spans="1:9" s="4" customFormat="1" ht="15.75">
      <c r="A233" s="139" t="s">
        <v>330</v>
      </c>
      <c r="B233" s="84" t="s">
        <v>122</v>
      </c>
      <c r="C233" s="29" t="s">
        <v>115</v>
      </c>
      <c r="D233" s="135" t="s">
        <v>412</v>
      </c>
      <c r="E233" s="271" t="s">
        <v>329</v>
      </c>
      <c r="F233" s="148"/>
      <c r="G233" s="121">
        <f>'Прилож №5'!H306</f>
        <v>1000</v>
      </c>
      <c r="H233" s="39">
        <f>'Прилож №5'!I306</f>
        <v>1000</v>
      </c>
      <c r="I233" s="1"/>
    </row>
    <row r="234" spans="1:9" s="4" customFormat="1" ht="15.75">
      <c r="A234" s="53" t="s">
        <v>20</v>
      </c>
      <c r="B234" s="85" t="s">
        <v>122</v>
      </c>
      <c r="C234" s="33" t="s">
        <v>122</v>
      </c>
      <c r="D234" s="33"/>
      <c r="E234" s="154"/>
      <c r="F234" s="32"/>
      <c r="G234" s="264">
        <f>G235+G250+G243</f>
        <v>25782.8</v>
      </c>
      <c r="H234" s="34">
        <f>H235+H250+H243</f>
        <v>8748</v>
      </c>
      <c r="I234" s="1"/>
    </row>
    <row r="235" spans="1:9" s="4" customFormat="1" ht="15.75">
      <c r="A235" s="108" t="s">
        <v>60</v>
      </c>
      <c r="B235" s="84" t="s">
        <v>122</v>
      </c>
      <c r="C235" s="29" t="s">
        <v>122</v>
      </c>
      <c r="D235" s="29" t="s">
        <v>61</v>
      </c>
      <c r="E235" s="131"/>
      <c r="F235" s="28"/>
      <c r="G235" s="121">
        <f>G241+G238+G236</f>
        <v>8284.599999999999</v>
      </c>
      <c r="H235" s="50">
        <f>H241+H238+H236</f>
        <v>4174</v>
      </c>
      <c r="I235" s="1"/>
    </row>
    <row r="236" spans="1:9" s="4" customFormat="1" ht="43.5">
      <c r="A236" s="110" t="s">
        <v>439</v>
      </c>
      <c r="B236" s="84" t="s">
        <v>122</v>
      </c>
      <c r="C236" s="29" t="s">
        <v>122</v>
      </c>
      <c r="D236" s="29" t="s">
        <v>406</v>
      </c>
      <c r="E236" s="131"/>
      <c r="F236" s="28"/>
      <c r="G236" s="121">
        <f>G237</f>
        <v>4174</v>
      </c>
      <c r="H236" s="30">
        <f>H237</f>
        <v>4174</v>
      </c>
      <c r="I236" s="1"/>
    </row>
    <row r="237" spans="1:9" s="4" customFormat="1" ht="43.5">
      <c r="A237" s="201" t="s">
        <v>440</v>
      </c>
      <c r="B237" s="84" t="s">
        <v>122</v>
      </c>
      <c r="C237" s="29" t="s">
        <v>122</v>
      </c>
      <c r="D237" s="29" t="s">
        <v>406</v>
      </c>
      <c r="E237" s="69" t="s">
        <v>407</v>
      </c>
      <c r="F237" s="28"/>
      <c r="G237" s="121">
        <f>'Прилож №5'!H361</f>
        <v>4174</v>
      </c>
      <c r="H237" s="30">
        <f>'Прилож №5'!I361</f>
        <v>4174</v>
      </c>
      <c r="I237" s="1"/>
    </row>
    <row r="238" spans="1:9" s="4" customFormat="1" ht="28.5" customHeight="1">
      <c r="A238" s="184" t="s">
        <v>239</v>
      </c>
      <c r="B238" s="91" t="s">
        <v>122</v>
      </c>
      <c r="C238" s="29" t="s">
        <v>122</v>
      </c>
      <c r="D238" s="29" t="s">
        <v>250</v>
      </c>
      <c r="E238" s="131"/>
      <c r="F238" s="56"/>
      <c r="G238" s="121">
        <f>G240+G239</f>
        <v>4.8999999999999995</v>
      </c>
      <c r="H238" s="68"/>
      <c r="I238" s="1"/>
    </row>
    <row r="239" spans="1:9" s="4" customFormat="1" ht="15.75">
      <c r="A239" s="114" t="s">
        <v>103</v>
      </c>
      <c r="B239" s="91" t="s">
        <v>122</v>
      </c>
      <c r="C239" s="29" t="s">
        <v>122</v>
      </c>
      <c r="D239" s="29" t="s">
        <v>250</v>
      </c>
      <c r="E239" s="131" t="s">
        <v>56</v>
      </c>
      <c r="F239" s="56"/>
      <c r="G239" s="121">
        <f>'Прилож №5'!H363</f>
        <v>0</v>
      </c>
      <c r="H239" s="30"/>
      <c r="I239" s="1"/>
    </row>
    <row r="240" spans="1:9" s="4" customFormat="1" ht="15.75">
      <c r="A240" s="108" t="s">
        <v>155</v>
      </c>
      <c r="B240" s="91" t="s">
        <v>122</v>
      </c>
      <c r="C240" s="29" t="s">
        <v>122</v>
      </c>
      <c r="D240" s="29" t="s">
        <v>250</v>
      </c>
      <c r="E240" s="131" t="s">
        <v>156</v>
      </c>
      <c r="F240" s="56"/>
      <c r="G240" s="121">
        <f>'Прилож №5'!H364</f>
        <v>4.8999999999999995</v>
      </c>
      <c r="H240" s="30"/>
      <c r="I240" s="1"/>
    </row>
    <row r="241" spans="1:9" s="4" customFormat="1" ht="15.75">
      <c r="A241" s="108" t="s">
        <v>62</v>
      </c>
      <c r="B241" s="84" t="s">
        <v>122</v>
      </c>
      <c r="C241" s="29" t="s">
        <v>122</v>
      </c>
      <c r="D241" s="29" t="s">
        <v>184</v>
      </c>
      <c r="E241" s="131"/>
      <c r="F241" s="28"/>
      <c r="G241" s="121">
        <f>G242</f>
        <v>4105.7</v>
      </c>
      <c r="H241" s="30">
        <f>H242</f>
        <v>0</v>
      </c>
      <c r="I241" s="1"/>
    </row>
    <row r="242" spans="1:9" s="4" customFormat="1" ht="15.75">
      <c r="A242" s="108" t="s">
        <v>155</v>
      </c>
      <c r="B242" s="84" t="s">
        <v>122</v>
      </c>
      <c r="C242" s="29" t="s">
        <v>122</v>
      </c>
      <c r="D242" s="29" t="s">
        <v>184</v>
      </c>
      <c r="E242" s="156" t="s">
        <v>156</v>
      </c>
      <c r="F242" s="28" t="s">
        <v>11</v>
      </c>
      <c r="G242" s="165">
        <f>'Прилож №5'!H366</f>
        <v>4105.7</v>
      </c>
      <c r="H242" s="39">
        <f>'Прилож №5'!I366</f>
        <v>0</v>
      </c>
      <c r="I242" s="1"/>
    </row>
    <row r="243" spans="1:9" s="4" customFormat="1" ht="15.75">
      <c r="A243" s="112" t="s">
        <v>230</v>
      </c>
      <c r="B243" s="84" t="s">
        <v>122</v>
      </c>
      <c r="C243" s="29" t="s">
        <v>122</v>
      </c>
      <c r="D243" s="89" t="s">
        <v>229</v>
      </c>
      <c r="E243" s="135"/>
      <c r="F243" s="271"/>
      <c r="G243" s="165">
        <f>G244</f>
        <v>4574</v>
      </c>
      <c r="H243" s="39">
        <f>H244</f>
        <v>4574</v>
      </c>
      <c r="I243" s="1"/>
    </row>
    <row r="244" spans="1:9" s="4" customFormat="1" ht="43.5">
      <c r="A244" s="110" t="s">
        <v>424</v>
      </c>
      <c r="B244" s="84" t="s">
        <v>122</v>
      </c>
      <c r="C244" s="29" t="s">
        <v>122</v>
      </c>
      <c r="D244" s="89" t="s">
        <v>423</v>
      </c>
      <c r="E244" s="137"/>
      <c r="F244" s="271"/>
      <c r="G244" s="165">
        <f>G245</f>
        <v>4574</v>
      </c>
      <c r="H244" s="39">
        <f>H245</f>
        <v>4574</v>
      </c>
      <c r="I244" s="1"/>
    </row>
    <row r="245" spans="1:9" s="4" customFormat="1" ht="37.5" customHeight="1">
      <c r="A245" s="110" t="s">
        <v>383</v>
      </c>
      <c r="B245" s="84" t="s">
        <v>122</v>
      </c>
      <c r="C245" s="29" t="s">
        <v>122</v>
      </c>
      <c r="D245" s="89" t="s">
        <v>434</v>
      </c>
      <c r="E245" s="137"/>
      <c r="F245" s="271"/>
      <c r="G245" s="121">
        <f>G246+G247+G248+G249</f>
        <v>4574</v>
      </c>
      <c r="H245" s="30">
        <f>H246+H247+H248+H249</f>
        <v>4574</v>
      </c>
      <c r="I245" s="1"/>
    </row>
    <row r="246" spans="1:9" s="4" customFormat="1" ht="15.75">
      <c r="A246" s="108" t="s">
        <v>330</v>
      </c>
      <c r="B246" s="84" t="s">
        <v>122</v>
      </c>
      <c r="C246" s="29" t="s">
        <v>122</v>
      </c>
      <c r="D246" s="89" t="s">
        <v>434</v>
      </c>
      <c r="E246" s="137" t="s">
        <v>329</v>
      </c>
      <c r="F246" s="271"/>
      <c r="G246" s="272">
        <f>'Прилож №5'!H312</f>
        <v>69.30000000000035</v>
      </c>
      <c r="H246" s="68">
        <f>'Прилож №5'!I312</f>
        <v>69.30000000000035</v>
      </c>
      <c r="I246" s="1"/>
    </row>
    <row r="247" spans="1:9" s="4" customFormat="1" ht="29.25">
      <c r="A247" s="113" t="s">
        <v>427</v>
      </c>
      <c r="B247" s="84" t="s">
        <v>122</v>
      </c>
      <c r="C247" s="29" t="s">
        <v>122</v>
      </c>
      <c r="D247" s="89" t="s">
        <v>434</v>
      </c>
      <c r="E247" s="137" t="s">
        <v>426</v>
      </c>
      <c r="F247" s="271" t="s">
        <v>158</v>
      </c>
      <c r="G247" s="121">
        <f>'Прилож №5'!H313</f>
        <v>936.5999999999999</v>
      </c>
      <c r="H247" s="30">
        <f>'Прилож №5'!I313</f>
        <v>936.5999999999999</v>
      </c>
      <c r="I247" s="1"/>
    </row>
    <row r="248" spans="1:9" s="4" customFormat="1" ht="15.75">
      <c r="A248" s="270" t="s">
        <v>326</v>
      </c>
      <c r="B248" s="84" t="s">
        <v>122</v>
      </c>
      <c r="C248" s="29" t="s">
        <v>122</v>
      </c>
      <c r="D248" s="89" t="s">
        <v>434</v>
      </c>
      <c r="E248" s="137" t="s">
        <v>323</v>
      </c>
      <c r="F248" s="271" t="s">
        <v>323</v>
      </c>
      <c r="G248" s="272">
        <f>'Прилож №5'!H314</f>
        <v>709.0999999999999</v>
      </c>
      <c r="H248" s="50">
        <f>'Прилож №5'!I314</f>
        <v>709.0999999999999</v>
      </c>
      <c r="I248" s="1"/>
    </row>
    <row r="249" spans="1:9" s="4" customFormat="1" ht="15.75">
      <c r="A249" s="139" t="s">
        <v>327</v>
      </c>
      <c r="B249" s="84" t="s">
        <v>122</v>
      </c>
      <c r="C249" s="29" t="s">
        <v>122</v>
      </c>
      <c r="D249" s="89" t="s">
        <v>434</v>
      </c>
      <c r="E249" s="137" t="s">
        <v>324</v>
      </c>
      <c r="F249" s="271" t="s">
        <v>324</v>
      </c>
      <c r="G249" s="165">
        <f>'Прилож №5'!H315</f>
        <v>2859</v>
      </c>
      <c r="H249" s="68">
        <f>'Прилож №5'!I315</f>
        <v>2859</v>
      </c>
      <c r="I249" s="1"/>
    </row>
    <row r="250" spans="1:9" s="4" customFormat="1" ht="15.75">
      <c r="A250" s="108" t="s">
        <v>83</v>
      </c>
      <c r="B250" s="91" t="s">
        <v>122</v>
      </c>
      <c r="C250" s="38" t="s">
        <v>122</v>
      </c>
      <c r="D250" s="89" t="s">
        <v>84</v>
      </c>
      <c r="E250" s="29"/>
      <c r="F250" s="150"/>
      <c r="G250" s="121">
        <f>G251+G254</f>
        <v>12924.2</v>
      </c>
      <c r="H250" s="30">
        <f>H251</f>
        <v>0</v>
      </c>
      <c r="I250" s="1"/>
    </row>
    <row r="251" spans="1:9" s="4" customFormat="1" ht="29.25">
      <c r="A251" s="223" t="s">
        <v>216</v>
      </c>
      <c r="B251" s="91" t="s">
        <v>122</v>
      </c>
      <c r="C251" s="29" t="s">
        <v>122</v>
      </c>
      <c r="D251" s="89" t="s">
        <v>266</v>
      </c>
      <c r="E251" s="29"/>
      <c r="F251" s="151"/>
      <c r="G251" s="120">
        <f>G252+G253</f>
        <v>8897.2</v>
      </c>
      <c r="H251" s="50">
        <f>H253</f>
        <v>0</v>
      </c>
      <c r="I251" s="1"/>
    </row>
    <row r="252" spans="1:9" s="4" customFormat="1" ht="15.75">
      <c r="A252" s="108" t="s">
        <v>155</v>
      </c>
      <c r="B252" s="84" t="s">
        <v>122</v>
      </c>
      <c r="C252" s="29" t="s">
        <v>122</v>
      </c>
      <c r="D252" s="29" t="s">
        <v>266</v>
      </c>
      <c r="E252" s="153" t="s">
        <v>156</v>
      </c>
      <c r="F252" s="151"/>
      <c r="G252" s="121">
        <f>'Прилож №5'!H369</f>
        <v>157.3000000000011</v>
      </c>
      <c r="H252" s="30"/>
      <c r="I252" s="1"/>
    </row>
    <row r="253" spans="1:9" s="4" customFormat="1" ht="15.75">
      <c r="A253" s="112" t="s">
        <v>94</v>
      </c>
      <c r="B253" s="91" t="s">
        <v>122</v>
      </c>
      <c r="C253" s="49" t="s">
        <v>122</v>
      </c>
      <c r="D253" s="63" t="s">
        <v>266</v>
      </c>
      <c r="E253" s="217" t="s">
        <v>158</v>
      </c>
      <c r="F253" s="152" t="s">
        <v>56</v>
      </c>
      <c r="G253" s="272">
        <f>'Прилож №5'!H162+'Прилож №5'!H370</f>
        <v>8739.9</v>
      </c>
      <c r="H253" s="50">
        <f>'Прилож №5'!I369</f>
        <v>0</v>
      </c>
      <c r="I253" s="1"/>
    </row>
    <row r="254" spans="1:9" s="4" customFormat="1" ht="29.25">
      <c r="A254" s="127" t="s">
        <v>271</v>
      </c>
      <c r="B254" s="84" t="s">
        <v>382</v>
      </c>
      <c r="C254" s="29" t="s">
        <v>122</v>
      </c>
      <c r="D254" s="29" t="s">
        <v>267</v>
      </c>
      <c r="E254" s="131"/>
      <c r="F254" s="56"/>
      <c r="G254" s="30">
        <f>G255+G256</f>
        <v>4027</v>
      </c>
      <c r="H254" s="30"/>
      <c r="I254" s="1"/>
    </row>
    <row r="255" spans="1:9" s="4" customFormat="1" ht="15.75">
      <c r="A255" s="186" t="s">
        <v>155</v>
      </c>
      <c r="B255" s="67" t="s">
        <v>382</v>
      </c>
      <c r="C255" s="63" t="s">
        <v>122</v>
      </c>
      <c r="D255" s="63" t="s">
        <v>267</v>
      </c>
      <c r="E255" s="217" t="s">
        <v>156</v>
      </c>
      <c r="F255" s="158"/>
      <c r="G255" s="68">
        <f>'Прилож №5'!H319+'Прилож №5'!H372</f>
        <v>3568.4</v>
      </c>
      <c r="H255" s="50"/>
      <c r="I255" s="1"/>
    </row>
    <row r="256" spans="1:9" s="4" customFormat="1" ht="15.75">
      <c r="A256" s="112" t="s">
        <v>94</v>
      </c>
      <c r="B256" s="84" t="s">
        <v>122</v>
      </c>
      <c r="C256" s="29" t="s">
        <v>122</v>
      </c>
      <c r="D256" s="29" t="s">
        <v>267</v>
      </c>
      <c r="E256" s="131" t="s">
        <v>158</v>
      </c>
      <c r="F256" s="56"/>
      <c r="G256" s="30">
        <f>'Прилож №5'!H320+'Прилож №5'!H373</f>
        <v>458.6</v>
      </c>
      <c r="H256" s="50"/>
      <c r="I256" s="1"/>
    </row>
    <row r="257" spans="1:9" s="4" customFormat="1" ht="15.75">
      <c r="A257" s="53" t="s">
        <v>23</v>
      </c>
      <c r="B257" s="85" t="s">
        <v>122</v>
      </c>
      <c r="C257" s="33" t="s">
        <v>120</v>
      </c>
      <c r="D257" s="33" t="s">
        <v>34</v>
      </c>
      <c r="E257" s="154" t="s">
        <v>36</v>
      </c>
      <c r="F257" s="32"/>
      <c r="G257" s="164">
        <f>G258+G263+G270+G261</f>
        <v>110054.8</v>
      </c>
      <c r="H257" s="34">
        <f>H258+H263+H270+H261</f>
        <v>18257.5</v>
      </c>
      <c r="I257" s="5"/>
    </row>
    <row r="258" spans="1:9" s="4" customFormat="1" ht="15.75">
      <c r="A258" s="110" t="s">
        <v>95</v>
      </c>
      <c r="B258" s="84" t="s">
        <v>122</v>
      </c>
      <c r="C258" s="29" t="s">
        <v>120</v>
      </c>
      <c r="D258" s="29" t="s">
        <v>157</v>
      </c>
      <c r="E258" s="131"/>
      <c r="F258" s="28"/>
      <c r="G258" s="121">
        <f>G259</f>
        <v>13838.4</v>
      </c>
      <c r="H258" s="30">
        <f>H259</f>
        <v>0</v>
      </c>
      <c r="I258" s="5"/>
    </row>
    <row r="259" spans="1:9" s="4" customFormat="1" ht="15.75">
      <c r="A259" s="112" t="s">
        <v>37</v>
      </c>
      <c r="B259" s="84" t="s">
        <v>122</v>
      </c>
      <c r="C259" s="29" t="s">
        <v>120</v>
      </c>
      <c r="D259" s="29" t="s">
        <v>159</v>
      </c>
      <c r="E259" s="131"/>
      <c r="F259" s="28"/>
      <c r="G259" s="121">
        <f>G260</f>
        <v>13838.4</v>
      </c>
      <c r="H259" s="30">
        <f>H260</f>
        <v>0</v>
      </c>
      <c r="I259" s="5"/>
    </row>
    <row r="260" spans="1:9" s="4" customFormat="1" ht="15.75">
      <c r="A260" s="112" t="s">
        <v>94</v>
      </c>
      <c r="B260" s="84" t="s">
        <v>122</v>
      </c>
      <c r="C260" s="29" t="s">
        <v>120</v>
      </c>
      <c r="D260" s="29" t="s">
        <v>159</v>
      </c>
      <c r="E260" s="131" t="s">
        <v>158</v>
      </c>
      <c r="F260" s="28"/>
      <c r="G260" s="121">
        <f>'Прилож №5'!H324</f>
        <v>13838.4</v>
      </c>
      <c r="H260" s="66">
        <f>'Прилож №5'!I324</f>
        <v>0</v>
      </c>
      <c r="I260" s="5"/>
    </row>
    <row r="261" spans="1:9" s="4" customFormat="1" ht="120" customHeight="1">
      <c r="A261" s="113" t="s">
        <v>378</v>
      </c>
      <c r="B261" s="84" t="s">
        <v>122</v>
      </c>
      <c r="C261" s="29" t="s">
        <v>120</v>
      </c>
      <c r="D261" s="38" t="s">
        <v>336</v>
      </c>
      <c r="E261" s="29"/>
      <c r="F261" s="69"/>
      <c r="G261" s="165">
        <f>G262</f>
        <v>17387</v>
      </c>
      <c r="H261" s="39">
        <f>H262</f>
        <v>17387</v>
      </c>
      <c r="I261" s="1"/>
    </row>
    <row r="262" spans="1:9" s="4" customFormat="1" ht="36" customHeight="1">
      <c r="A262" s="167" t="s">
        <v>333</v>
      </c>
      <c r="B262" s="84" t="s">
        <v>122</v>
      </c>
      <c r="C262" s="29" t="s">
        <v>120</v>
      </c>
      <c r="D262" s="38" t="s">
        <v>336</v>
      </c>
      <c r="E262" s="48" t="s">
        <v>332</v>
      </c>
      <c r="F262" s="69" t="s">
        <v>332</v>
      </c>
      <c r="G262" s="165">
        <f>'Прилож №5'!H326</f>
        <v>17387</v>
      </c>
      <c r="H262" s="39">
        <f>'Прилож №5'!I326</f>
        <v>17387</v>
      </c>
      <c r="I262" s="1"/>
    </row>
    <row r="263" spans="1:9" s="4" customFormat="1" ht="57.75">
      <c r="A263" s="113" t="s">
        <v>73</v>
      </c>
      <c r="B263" s="84" t="s">
        <v>122</v>
      </c>
      <c r="C263" s="29" t="s">
        <v>120</v>
      </c>
      <c r="D263" s="29" t="s">
        <v>29</v>
      </c>
      <c r="E263" s="131"/>
      <c r="F263" s="28"/>
      <c r="G263" s="121">
        <f>G266+G269+G264</f>
        <v>26547.300000000003</v>
      </c>
      <c r="H263" s="30">
        <f>H266+H269+H264</f>
        <v>870.5</v>
      </c>
      <c r="I263" s="5"/>
    </row>
    <row r="264" spans="1:9" s="4" customFormat="1" ht="29.25">
      <c r="A264" s="113" t="s">
        <v>372</v>
      </c>
      <c r="B264" s="29" t="s">
        <v>122</v>
      </c>
      <c r="C264" s="29" t="s">
        <v>120</v>
      </c>
      <c r="D264" s="29" t="s">
        <v>371</v>
      </c>
      <c r="E264" s="37"/>
      <c r="F264" s="69"/>
      <c r="G264" s="121">
        <f>G265</f>
        <v>870.9</v>
      </c>
      <c r="H264" s="50">
        <f>H265</f>
        <v>870.5</v>
      </c>
      <c r="I264" s="5"/>
    </row>
    <row r="265" spans="1:9" s="4" customFormat="1" ht="15.75">
      <c r="A265" s="270" t="s">
        <v>326</v>
      </c>
      <c r="B265" s="29" t="s">
        <v>122</v>
      </c>
      <c r="C265" s="29" t="s">
        <v>120</v>
      </c>
      <c r="D265" s="29" t="s">
        <v>371</v>
      </c>
      <c r="E265" s="37" t="s">
        <v>323</v>
      </c>
      <c r="F265" s="69" t="s">
        <v>323</v>
      </c>
      <c r="G265" s="121">
        <f>'Прилож №5'!H329</f>
        <v>870.9</v>
      </c>
      <c r="H265" s="30">
        <f>'Прилож №5'!I329</f>
        <v>870.5</v>
      </c>
      <c r="I265" s="5"/>
    </row>
    <row r="266" spans="1:9" s="4" customFormat="1" ht="36" customHeight="1">
      <c r="A266" s="184" t="s">
        <v>239</v>
      </c>
      <c r="B266" s="84" t="s">
        <v>122</v>
      </c>
      <c r="C266" s="29" t="s">
        <v>120</v>
      </c>
      <c r="D266" s="29" t="s">
        <v>244</v>
      </c>
      <c r="E266" s="156"/>
      <c r="F266" s="56"/>
      <c r="G266" s="121">
        <f>G267</f>
        <v>450</v>
      </c>
      <c r="H266" s="30">
        <f>H267</f>
        <v>0</v>
      </c>
      <c r="I266" s="5"/>
    </row>
    <row r="267" spans="1:9" s="4" customFormat="1" ht="15.75">
      <c r="A267" s="108" t="s">
        <v>155</v>
      </c>
      <c r="B267" s="84" t="s">
        <v>122</v>
      </c>
      <c r="C267" s="29" t="s">
        <v>120</v>
      </c>
      <c r="D267" s="29" t="s">
        <v>244</v>
      </c>
      <c r="E267" s="156" t="s">
        <v>156</v>
      </c>
      <c r="F267" s="56" t="s">
        <v>56</v>
      </c>
      <c r="G267" s="121">
        <f>'Прилож №5'!H331</f>
        <v>450</v>
      </c>
      <c r="H267" s="50">
        <f>'Прилож №5'!I331</f>
        <v>0</v>
      </c>
      <c r="I267" s="5"/>
    </row>
    <row r="268" spans="1:9" s="4" customFormat="1" ht="15.75">
      <c r="A268" s="108" t="s">
        <v>18</v>
      </c>
      <c r="B268" s="84" t="s">
        <v>122</v>
      </c>
      <c r="C268" s="29" t="s">
        <v>120</v>
      </c>
      <c r="D268" s="29" t="s">
        <v>135</v>
      </c>
      <c r="E268" s="131"/>
      <c r="F268" s="28"/>
      <c r="G268" s="121">
        <f>G269</f>
        <v>25226.4</v>
      </c>
      <c r="H268" s="30">
        <f>H269</f>
        <v>0</v>
      </c>
      <c r="I268" s="5"/>
    </row>
    <row r="269" spans="1:9" s="4" customFormat="1" ht="15.75">
      <c r="A269" s="108" t="s">
        <v>155</v>
      </c>
      <c r="B269" s="84" t="s">
        <v>122</v>
      </c>
      <c r="C269" s="29" t="s">
        <v>120</v>
      </c>
      <c r="D269" s="29" t="s">
        <v>135</v>
      </c>
      <c r="E269" s="131" t="s">
        <v>156</v>
      </c>
      <c r="F269" s="28"/>
      <c r="G269" s="121">
        <f>'Прилож №5'!H333</f>
        <v>25226.4</v>
      </c>
      <c r="H269" s="30">
        <f>'Прилож №5'!I333</f>
        <v>0</v>
      </c>
      <c r="I269" s="5"/>
    </row>
    <row r="270" spans="1:9" s="4" customFormat="1" ht="15.75">
      <c r="A270" s="109" t="s">
        <v>83</v>
      </c>
      <c r="B270" s="91" t="s">
        <v>122</v>
      </c>
      <c r="C270" s="49" t="s">
        <v>120</v>
      </c>
      <c r="D270" s="49" t="s">
        <v>84</v>
      </c>
      <c r="E270" s="131"/>
      <c r="F270" s="48"/>
      <c r="G270" s="120">
        <f>G271+G273</f>
        <v>52282.1</v>
      </c>
      <c r="H270" s="50">
        <f>H273</f>
        <v>0</v>
      </c>
      <c r="I270" s="5"/>
    </row>
    <row r="271" spans="1:9" s="4" customFormat="1" ht="43.5">
      <c r="A271" s="115" t="s">
        <v>233</v>
      </c>
      <c r="B271" s="182" t="s">
        <v>122</v>
      </c>
      <c r="C271" s="146" t="s">
        <v>120</v>
      </c>
      <c r="D271" s="38" t="s">
        <v>136</v>
      </c>
      <c r="E271" s="219"/>
      <c r="F271" s="142"/>
      <c r="G271" s="183">
        <f>G272</f>
        <v>1266.1</v>
      </c>
      <c r="H271" s="147"/>
      <c r="I271" s="5"/>
    </row>
    <row r="272" spans="1:9" s="4" customFormat="1" ht="15.75">
      <c r="A272" s="47" t="s">
        <v>94</v>
      </c>
      <c r="B272" s="140" t="s">
        <v>122</v>
      </c>
      <c r="C272" s="137" t="s">
        <v>120</v>
      </c>
      <c r="D272" s="38" t="s">
        <v>136</v>
      </c>
      <c r="E272" s="218" t="s">
        <v>158</v>
      </c>
      <c r="F272" s="188"/>
      <c r="G272" s="191">
        <f>'Прилож №5'!H339</f>
        <v>1266.1</v>
      </c>
      <c r="H272" s="66"/>
      <c r="I272" s="5"/>
    </row>
    <row r="273" spans="1:14" s="4" customFormat="1" ht="29.25">
      <c r="A273" s="127" t="s">
        <v>271</v>
      </c>
      <c r="B273" s="140" t="s">
        <v>122</v>
      </c>
      <c r="C273" s="137" t="s">
        <v>120</v>
      </c>
      <c r="D273" s="29" t="s">
        <v>267</v>
      </c>
      <c r="E273" s="218"/>
      <c r="F273" s="138"/>
      <c r="G273" s="190">
        <f>G275+G274</f>
        <v>51016</v>
      </c>
      <c r="H273" s="66">
        <f>H275</f>
        <v>0</v>
      </c>
      <c r="I273" s="1"/>
      <c r="J273" s="1"/>
      <c r="K273" s="1"/>
      <c r="L273" s="1"/>
      <c r="M273" s="1"/>
      <c r="N273" s="1"/>
    </row>
    <row r="274" spans="1:14" s="4" customFormat="1" ht="15.75">
      <c r="A274" s="185" t="s">
        <v>155</v>
      </c>
      <c r="B274" s="239" t="s">
        <v>122</v>
      </c>
      <c r="C274" s="310" t="s">
        <v>120</v>
      </c>
      <c r="D274" s="63" t="s">
        <v>267</v>
      </c>
      <c r="E274" s="311" t="s">
        <v>156</v>
      </c>
      <c r="F274" s="242"/>
      <c r="G274" s="312">
        <f>'Прилож №5'!H336</f>
        <v>44090.1</v>
      </c>
      <c r="H274" s="237"/>
      <c r="I274" s="1"/>
      <c r="J274" s="1"/>
      <c r="K274" s="1"/>
      <c r="L274" s="1"/>
      <c r="M274" s="1"/>
      <c r="N274" s="1"/>
    </row>
    <row r="275" spans="1:14" s="4" customFormat="1" ht="16.5" thickBot="1">
      <c r="A275" s="145" t="s">
        <v>94</v>
      </c>
      <c r="B275" s="140" t="s">
        <v>122</v>
      </c>
      <c r="C275" s="137" t="s">
        <v>120</v>
      </c>
      <c r="D275" s="38" t="s">
        <v>267</v>
      </c>
      <c r="E275" s="218" t="s">
        <v>158</v>
      </c>
      <c r="F275" s="138"/>
      <c r="G275" s="190">
        <f>'Прилож №5'!H166+'Прилож №5'!H337</f>
        <v>6925.9</v>
      </c>
      <c r="H275" s="237">
        <f>'Прилож №5'!I337</f>
        <v>0</v>
      </c>
      <c r="I275" s="1"/>
      <c r="J275" s="1"/>
      <c r="K275" s="1"/>
      <c r="L275" s="1"/>
      <c r="M275" s="1"/>
      <c r="N275" s="1"/>
    </row>
    <row r="276" spans="1:14" s="4" customFormat="1" ht="16.5" thickBot="1">
      <c r="A276" s="51" t="s">
        <v>226</v>
      </c>
      <c r="B276" s="80" t="s">
        <v>123</v>
      </c>
      <c r="C276" s="22"/>
      <c r="D276" s="22"/>
      <c r="E276" s="214"/>
      <c r="F276" s="52"/>
      <c r="G276" s="119">
        <f>G277+G308</f>
        <v>87087.8</v>
      </c>
      <c r="H276" s="23">
        <f>H277+H308</f>
        <v>471</v>
      </c>
      <c r="I276" s="1"/>
      <c r="J276" s="1"/>
      <c r="K276" s="1"/>
      <c r="L276" s="1"/>
      <c r="M276" s="1"/>
      <c r="N276" s="1"/>
    </row>
    <row r="277" spans="1:14" s="4" customFormat="1" ht="16.5" thickBot="1">
      <c r="A277" s="51" t="s">
        <v>24</v>
      </c>
      <c r="B277" s="22" t="s">
        <v>123</v>
      </c>
      <c r="C277" s="80" t="s">
        <v>114</v>
      </c>
      <c r="D277" s="22"/>
      <c r="E277" s="195"/>
      <c r="F277" s="20" t="s">
        <v>8</v>
      </c>
      <c r="G277" s="119">
        <f>G288+G295+G303+G278</f>
        <v>66691.8</v>
      </c>
      <c r="H277" s="23">
        <f>H288+H295+H303+H278</f>
        <v>471</v>
      </c>
      <c r="I277" s="1"/>
      <c r="J277" s="1"/>
      <c r="K277" s="1"/>
      <c r="L277" s="1"/>
      <c r="M277" s="1"/>
      <c r="N277" s="1"/>
    </row>
    <row r="278" spans="1:14" s="4" customFormat="1" ht="30.75" thickBot="1">
      <c r="A278" s="104" t="s">
        <v>77</v>
      </c>
      <c r="B278" s="22" t="s">
        <v>123</v>
      </c>
      <c r="C278" s="22" t="s">
        <v>114</v>
      </c>
      <c r="D278" s="80" t="s">
        <v>25</v>
      </c>
      <c r="E278" s="22"/>
      <c r="F278" s="20"/>
      <c r="G278" s="23">
        <f>G282+G285+G279</f>
        <v>41288.5</v>
      </c>
      <c r="H278" s="23">
        <f>H282+H285+H279</f>
        <v>275</v>
      </c>
      <c r="I278" s="1"/>
      <c r="J278" s="1"/>
      <c r="K278" s="1"/>
      <c r="L278" s="1"/>
      <c r="M278" s="1"/>
      <c r="N278" s="1"/>
    </row>
    <row r="279" spans="1:14" s="4" customFormat="1" ht="29.25">
      <c r="A279" s="111" t="s">
        <v>222</v>
      </c>
      <c r="B279" s="342" t="s">
        <v>123</v>
      </c>
      <c r="C279" s="343" t="s">
        <v>114</v>
      </c>
      <c r="D279" s="352" t="s">
        <v>224</v>
      </c>
      <c r="E279" s="49"/>
      <c r="F279" s="344"/>
      <c r="G279" s="346">
        <f>G280</f>
        <v>225</v>
      </c>
      <c r="H279" s="61">
        <f>H280</f>
        <v>225</v>
      </c>
      <c r="I279" s="1"/>
      <c r="J279" s="1"/>
      <c r="K279" s="1"/>
      <c r="L279" s="1"/>
      <c r="M279" s="1"/>
      <c r="N279" s="1"/>
    </row>
    <row r="280" spans="1:14" s="4" customFormat="1" ht="15.75">
      <c r="A280" s="112" t="s">
        <v>225</v>
      </c>
      <c r="B280" s="348" t="s">
        <v>123</v>
      </c>
      <c r="C280" s="349" t="s">
        <v>114</v>
      </c>
      <c r="D280" s="38" t="s">
        <v>224</v>
      </c>
      <c r="E280" s="38"/>
      <c r="F280" s="350"/>
      <c r="G280" s="351">
        <f>G281</f>
        <v>225</v>
      </c>
      <c r="H280" s="210">
        <f>H281</f>
        <v>225</v>
      </c>
      <c r="I280" s="1"/>
      <c r="J280" s="1"/>
      <c r="K280" s="1"/>
      <c r="L280" s="1"/>
      <c r="M280" s="1"/>
      <c r="N280" s="1"/>
    </row>
    <row r="281" spans="1:14" s="4" customFormat="1" ht="15.75">
      <c r="A281" s="108" t="s">
        <v>374</v>
      </c>
      <c r="B281" s="54" t="s">
        <v>123</v>
      </c>
      <c r="C281" s="76" t="s">
        <v>114</v>
      </c>
      <c r="D281" s="29" t="s">
        <v>224</v>
      </c>
      <c r="E281" s="29" t="s">
        <v>373</v>
      </c>
      <c r="F281" s="345" t="s">
        <v>373</v>
      </c>
      <c r="G281" s="347">
        <f>'Прилож №5'!H379</f>
        <v>225</v>
      </c>
      <c r="H281" s="34">
        <f>'Прилож №5'!I379</f>
        <v>225</v>
      </c>
      <c r="I281" s="1"/>
      <c r="J281" s="1"/>
      <c r="K281" s="1"/>
      <c r="L281" s="1"/>
      <c r="M281" s="1"/>
      <c r="N281" s="1"/>
    </row>
    <row r="282" spans="1:14" s="4" customFormat="1" ht="28.5" customHeight="1">
      <c r="A282" s="180" t="s">
        <v>239</v>
      </c>
      <c r="B282" s="49" t="s">
        <v>123</v>
      </c>
      <c r="C282" s="91" t="s">
        <v>114</v>
      </c>
      <c r="D282" s="29" t="s">
        <v>247</v>
      </c>
      <c r="E282" s="155"/>
      <c r="F282" s="36"/>
      <c r="G282" s="50">
        <f>G284+G283</f>
        <v>4761.099999999999</v>
      </c>
      <c r="H282" s="197">
        <f>H284</f>
        <v>0</v>
      </c>
      <c r="I282" s="1"/>
      <c r="J282" s="1"/>
      <c r="K282" s="1"/>
      <c r="L282" s="1"/>
      <c r="M282" s="1"/>
      <c r="N282" s="1"/>
    </row>
    <row r="283" spans="1:14" s="4" customFormat="1" ht="15.75">
      <c r="A283" s="114" t="s">
        <v>103</v>
      </c>
      <c r="B283" s="49" t="s">
        <v>123</v>
      </c>
      <c r="C283" s="49" t="s">
        <v>114</v>
      </c>
      <c r="D283" s="49" t="s">
        <v>247</v>
      </c>
      <c r="E283" s="153" t="s">
        <v>56</v>
      </c>
      <c r="F283" s="36"/>
      <c r="G283" s="50">
        <f>'Прилож №5'!H381</f>
        <v>0</v>
      </c>
      <c r="H283" s="197"/>
      <c r="I283" s="1"/>
      <c r="J283" s="1"/>
      <c r="K283" s="1"/>
      <c r="L283" s="1"/>
      <c r="M283" s="1"/>
      <c r="N283" s="1"/>
    </row>
    <row r="284" spans="1:14" s="4" customFormat="1" ht="15.75">
      <c r="A284" s="185" t="s">
        <v>155</v>
      </c>
      <c r="B284" s="49" t="s">
        <v>123</v>
      </c>
      <c r="C284" s="49" t="s">
        <v>114</v>
      </c>
      <c r="D284" s="49" t="s">
        <v>247</v>
      </c>
      <c r="E284" s="153" t="s">
        <v>156</v>
      </c>
      <c r="F284" s="36"/>
      <c r="G284" s="50">
        <f>'Прилож №5'!H382</f>
        <v>4761.099999999999</v>
      </c>
      <c r="H284" s="197">
        <f>'Прилож №5'!I382</f>
        <v>0</v>
      </c>
      <c r="I284" s="1"/>
      <c r="J284" s="1"/>
      <c r="K284" s="1"/>
      <c r="L284" s="1"/>
      <c r="M284" s="1"/>
      <c r="N284" s="1"/>
    </row>
    <row r="285" spans="1:14" s="4" customFormat="1" ht="15.75">
      <c r="A285" s="47" t="s">
        <v>18</v>
      </c>
      <c r="B285" s="49" t="s">
        <v>123</v>
      </c>
      <c r="C285" s="49" t="s">
        <v>114</v>
      </c>
      <c r="D285" s="49" t="s">
        <v>137</v>
      </c>
      <c r="E285" s="153"/>
      <c r="F285" s="57"/>
      <c r="G285" s="50">
        <f>G286+G287</f>
        <v>36302.4</v>
      </c>
      <c r="H285" s="197">
        <f>'Прилож №5'!I383</f>
        <v>50</v>
      </c>
      <c r="I285" s="1"/>
      <c r="J285" s="1"/>
      <c r="K285" s="1"/>
      <c r="L285" s="1"/>
      <c r="M285" s="1"/>
      <c r="N285" s="1"/>
    </row>
    <row r="286" spans="1:14" s="4" customFormat="1" ht="15.75">
      <c r="A286" s="114" t="s">
        <v>103</v>
      </c>
      <c r="B286" s="49" t="s">
        <v>123</v>
      </c>
      <c r="C286" s="49" t="s">
        <v>114</v>
      </c>
      <c r="D286" s="49" t="s">
        <v>137</v>
      </c>
      <c r="E286" s="153" t="s">
        <v>56</v>
      </c>
      <c r="F286" s="57"/>
      <c r="G286" s="50">
        <f>'Прилож №5'!H384</f>
        <v>140</v>
      </c>
      <c r="H286" s="197"/>
      <c r="I286" s="1"/>
      <c r="J286" s="1"/>
      <c r="K286" s="1"/>
      <c r="L286" s="1"/>
      <c r="M286" s="1"/>
      <c r="N286" s="1"/>
    </row>
    <row r="287" spans="1:14" s="4" customFormat="1" ht="15.75">
      <c r="A287" s="185" t="s">
        <v>155</v>
      </c>
      <c r="B287" s="49" t="s">
        <v>123</v>
      </c>
      <c r="C287" s="49" t="s">
        <v>114</v>
      </c>
      <c r="D287" s="29" t="s">
        <v>137</v>
      </c>
      <c r="E287" s="131" t="s">
        <v>156</v>
      </c>
      <c r="F287" s="56" t="s">
        <v>56</v>
      </c>
      <c r="G287" s="50">
        <f>'Прилож №5'!H385</f>
        <v>36162.4</v>
      </c>
      <c r="H287" s="197">
        <f>'Прилож №5'!I385</f>
        <v>50</v>
      </c>
      <c r="I287" s="1"/>
      <c r="J287" s="1"/>
      <c r="K287" s="1"/>
      <c r="L287" s="1"/>
      <c r="M287" s="1"/>
      <c r="N287" s="1"/>
    </row>
    <row r="288" spans="1:14" s="4" customFormat="1" ht="15.75">
      <c r="A288" s="53" t="s">
        <v>9</v>
      </c>
      <c r="B288" s="33" t="s">
        <v>123</v>
      </c>
      <c r="C288" s="33" t="s">
        <v>114</v>
      </c>
      <c r="D288" s="33" t="s">
        <v>26</v>
      </c>
      <c r="E288" s="154"/>
      <c r="F288" s="32"/>
      <c r="G288" s="34">
        <f>G289+G292</f>
        <v>3892.7000000000003</v>
      </c>
      <c r="H288" s="198">
        <f>H289+H292</f>
        <v>0</v>
      </c>
      <c r="I288" s="1"/>
      <c r="J288" s="1"/>
      <c r="K288" s="1"/>
      <c r="L288" s="1"/>
      <c r="M288" s="1"/>
      <c r="N288" s="1"/>
    </row>
    <row r="289" spans="1:14" s="4" customFormat="1" ht="39" customHeight="1">
      <c r="A289" s="184" t="s">
        <v>239</v>
      </c>
      <c r="B289" s="49" t="s">
        <v>123</v>
      </c>
      <c r="C289" s="49" t="s">
        <v>114</v>
      </c>
      <c r="D289" s="49" t="s">
        <v>248</v>
      </c>
      <c r="E289" s="155"/>
      <c r="F289" s="28"/>
      <c r="G289" s="30">
        <f>G291+G290</f>
        <v>4.3</v>
      </c>
      <c r="H289" s="193">
        <f>H291</f>
        <v>0</v>
      </c>
      <c r="I289" s="1"/>
      <c r="J289" s="1"/>
      <c r="K289" s="1"/>
      <c r="L289" s="1"/>
      <c r="M289" s="1"/>
      <c r="N289" s="1"/>
    </row>
    <row r="290" spans="1:14" s="4" customFormat="1" ht="15.75">
      <c r="A290" s="114" t="s">
        <v>103</v>
      </c>
      <c r="B290" s="49" t="s">
        <v>123</v>
      </c>
      <c r="C290" s="49" t="s">
        <v>114</v>
      </c>
      <c r="D290" s="49" t="s">
        <v>248</v>
      </c>
      <c r="E290" s="153" t="s">
        <v>56</v>
      </c>
      <c r="F290" s="28"/>
      <c r="G290" s="30">
        <f>'Прилож №5'!H388</f>
        <v>0</v>
      </c>
      <c r="H290" s="193"/>
      <c r="I290" s="1"/>
      <c r="J290" s="1"/>
      <c r="K290" s="1"/>
      <c r="L290" s="1"/>
      <c r="M290" s="1"/>
      <c r="N290" s="1"/>
    </row>
    <row r="291" spans="1:14" s="4" customFormat="1" ht="15.75">
      <c r="A291" s="185" t="s">
        <v>155</v>
      </c>
      <c r="B291" s="29" t="s">
        <v>123</v>
      </c>
      <c r="C291" s="29" t="s">
        <v>114</v>
      </c>
      <c r="D291" s="49" t="s">
        <v>248</v>
      </c>
      <c r="E291" s="153" t="s">
        <v>156</v>
      </c>
      <c r="F291" s="28"/>
      <c r="G291" s="30">
        <f>'Прилож №5'!H389</f>
        <v>4.3</v>
      </c>
      <c r="H291" s="193">
        <f>'Прилож №5'!I389</f>
        <v>0</v>
      </c>
      <c r="I291" s="1"/>
      <c r="J291" s="1"/>
      <c r="K291" s="1"/>
      <c r="L291" s="1"/>
      <c r="M291" s="1"/>
      <c r="N291" s="1"/>
    </row>
    <row r="292" spans="1:14" s="4" customFormat="1" ht="15.75">
      <c r="A292" s="109" t="s">
        <v>18</v>
      </c>
      <c r="B292" s="29" t="s">
        <v>123</v>
      </c>
      <c r="C292" s="29" t="s">
        <v>114</v>
      </c>
      <c r="D292" s="29" t="s">
        <v>138</v>
      </c>
      <c r="E292" s="131"/>
      <c r="F292" s="28"/>
      <c r="G292" s="30">
        <f>G293+G294</f>
        <v>3888.4</v>
      </c>
      <c r="H292" s="193">
        <f>'Прилож №5'!I390</f>
        <v>0</v>
      </c>
      <c r="I292" s="1"/>
      <c r="J292" s="1"/>
      <c r="K292" s="1"/>
      <c r="L292" s="1"/>
      <c r="M292" s="1"/>
      <c r="N292" s="1"/>
    </row>
    <row r="293" spans="1:14" s="4" customFormat="1" ht="15.75">
      <c r="A293" s="47" t="s">
        <v>103</v>
      </c>
      <c r="B293" s="29" t="s">
        <v>123</v>
      </c>
      <c r="C293" s="29" t="s">
        <v>114</v>
      </c>
      <c r="D293" s="29" t="s">
        <v>138</v>
      </c>
      <c r="E293" s="131" t="s">
        <v>56</v>
      </c>
      <c r="F293" s="28"/>
      <c r="G293" s="30">
        <f>'Прилож №5'!H391</f>
        <v>2.1</v>
      </c>
      <c r="H293" s="193"/>
      <c r="I293" s="1"/>
      <c r="J293" s="1"/>
      <c r="K293" s="1"/>
      <c r="L293" s="1"/>
      <c r="M293" s="1"/>
      <c r="N293" s="1"/>
    </row>
    <row r="294" spans="1:14" s="4" customFormat="1" ht="15.75">
      <c r="A294" s="108" t="s">
        <v>155</v>
      </c>
      <c r="B294" s="29" t="s">
        <v>123</v>
      </c>
      <c r="C294" s="29" t="s">
        <v>114</v>
      </c>
      <c r="D294" s="29" t="s">
        <v>138</v>
      </c>
      <c r="E294" s="131" t="s">
        <v>156</v>
      </c>
      <c r="F294" s="28"/>
      <c r="G294" s="30">
        <f>'Прилож №5'!H392</f>
        <v>3886.3</v>
      </c>
      <c r="H294" s="193">
        <f>'Прилож №5'!I392</f>
        <v>0</v>
      </c>
      <c r="I294" s="1"/>
      <c r="J294" s="1"/>
      <c r="K294" s="1"/>
      <c r="L294" s="1"/>
      <c r="M294" s="1"/>
      <c r="N294" s="1"/>
    </row>
    <row r="295" spans="1:14" s="4" customFormat="1" ht="15.75">
      <c r="A295" s="53" t="s">
        <v>10</v>
      </c>
      <c r="B295" s="33" t="s">
        <v>123</v>
      </c>
      <c r="C295" s="33" t="s">
        <v>114</v>
      </c>
      <c r="D295" s="33" t="s">
        <v>27</v>
      </c>
      <c r="E295" s="154"/>
      <c r="F295" s="32"/>
      <c r="G295" s="34">
        <f>G298+G300+G296</f>
        <v>10393.6</v>
      </c>
      <c r="H295" s="34">
        <f>H298+H300+H296</f>
        <v>196</v>
      </c>
      <c r="I295" s="1"/>
      <c r="J295" s="1"/>
      <c r="K295" s="1"/>
      <c r="L295" s="1"/>
      <c r="M295" s="1"/>
      <c r="N295" s="1"/>
    </row>
    <row r="296" spans="1:14" s="4" customFormat="1" ht="43.5">
      <c r="A296" s="110" t="s">
        <v>468</v>
      </c>
      <c r="B296" s="33" t="s">
        <v>123</v>
      </c>
      <c r="C296" s="33" t="s">
        <v>114</v>
      </c>
      <c r="D296" s="29" t="s">
        <v>469</v>
      </c>
      <c r="E296" s="32"/>
      <c r="F296" s="86"/>
      <c r="G296" s="34">
        <f>G297</f>
        <v>196</v>
      </c>
      <c r="H296" s="34">
        <f>H297</f>
        <v>196</v>
      </c>
      <c r="I296" s="1"/>
      <c r="J296" s="1"/>
      <c r="K296" s="1"/>
      <c r="L296" s="1"/>
      <c r="M296" s="1"/>
      <c r="N296" s="1"/>
    </row>
    <row r="297" spans="1:14" s="4" customFormat="1" ht="15.75">
      <c r="A297" s="108" t="s">
        <v>374</v>
      </c>
      <c r="B297" s="33" t="s">
        <v>123</v>
      </c>
      <c r="C297" s="33" t="s">
        <v>114</v>
      </c>
      <c r="D297" s="29" t="s">
        <v>469</v>
      </c>
      <c r="E297" s="32" t="s">
        <v>373</v>
      </c>
      <c r="F297" s="69" t="s">
        <v>373</v>
      </c>
      <c r="G297" s="34">
        <f>'Прилож №5'!H395</f>
        <v>196</v>
      </c>
      <c r="H297" s="34">
        <f>'Прилож №5'!I395</f>
        <v>196</v>
      </c>
      <c r="I297" s="1"/>
      <c r="J297" s="1"/>
      <c r="K297" s="1"/>
      <c r="L297" s="1"/>
      <c r="M297" s="1"/>
      <c r="N297" s="1"/>
    </row>
    <row r="298" spans="1:14" s="4" customFormat="1" ht="31.5" customHeight="1">
      <c r="A298" s="184" t="s">
        <v>239</v>
      </c>
      <c r="B298" s="29" t="s">
        <v>123</v>
      </c>
      <c r="C298" s="29" t="s">
        <v>114</v>
      </c>
      <c r="D298" s="29" t="s">
        <v>246</v>
      </c>
      <c r="E298" s="131"/>
      <c r="F298" s="32"/>
      <c r="G298" s="30">
        <f>G299</f>
        <v>6</v>
      </c>
      <c r="H298" s="193">
        <f>H299</f>
        <v>0</v>
      </c>
      <c r="I298" s="1"/>
      <c r="J298" s="1"/>
      <c r="K298" s="1"/>
      <c r="L298" s="1"/>
      <c r="M298" s="1"/>
      <c r="N298" s="1"/>
    </row>
    <row r="299" spans="1:14" s="4" customFormat="1" ht="15.75">
      <c r="A299" s="185" t="s">
        <v>155</v>
      </c>
      <c r="B299" s="29" t="s">
        <v>123</v>
      </c>
      <c r="C299" s="29" t="s">
        <v>114</v>
      </c>
      <c r="D299" s="29" t="s">
        <v>246</v>
      </c>
      <c r="E299" s="131" t="s">
        <v>156</v>
      </c>
      <c r="F299" s="32"/>
      <c r="G299" s="30">
        <f>'Прилож №5'!H397</f>
        <v>6</v>
      </c>
      <c r="H299" s="193">
        <f>'Прилож №5'!I397</f>
        <v>0</v>
      </c>
      <c r="I299" s="1"/>
      <c r="J299" s="1"/>
      <c r="K299" s="1"/>
      <c r="L299" s="1"/>
      <c r="M299" s="1"/>
      <c r="N299" s="1"/>
    </row>
    <row r="300" spans="1:14" s="4" customFormat="1" ht="15.75">
      <c r="A300" s="47" t="s">
        <v>18</v>
      </c>
      <c r="B300" s="29" t="s">
        <v>123</v>
      </c>
      <c r="C300" s="29" t="s">
        <v>114</v>
      </c>
      <c r="D300" s="29" t="s">
        <v>139</v>
      </c>
      <c r="E300" s="131"/>
      <c r="F300" s="28"/>
      <c r="G300" s="30">
        <f>G302+G301</f>
        <v>10191.6</v>
      </c>
      <c r="H300" s="193">
        <f>H302</f>
        <v>0</v>
      </c>
      <c r="I300" s="1"/>
      <c r="J300" s="1"/>
      <c r="K300" s="1"/>
      <c r="L300" s="1"/>
      <c r="M300" s="1"/>
      <c r="N300" s="1"/>
    </row>
    <row r="301" spans="1:14" s="4" customFormat="1" ht="15.75">
      <c r="A301" s="114" t="s">
        <v>103</v>
      </c>
      <c r="B301" s="29" t="s">
        <v>123</v>
      </c>
      <c r="C301" s="29" t="s">
        <v>114</v>
      </c>
      <c r="D301" s="29" t="s">
        <v>139</v>
      </c>
      <c r="E301" s="131" t="s">
        <v>56</v>
      </c>
      <c r="F301" s="28"/>
      <c r="G301" s="30">
        <f>'Прилож №5'!H399</f>
        <v>11.4</v>
      </c>
      <c r="H301" s="193"/>
      <c r="I301" s="1"/>
      <c r="J301" s="1"/>
      <c r="K301" s="1"/>
      <c r="L301" s="1"/>
      <c r="M301" s="1"/>
      <c r="N301" s="1"/>
    </row>
    <row r="302" spans="1:14" s="4" customFormat="1" ht="15.75">
      <c r="A302" s="108" t="s">
        <v>155</v>
      </c>
      <c r="B302" s="29" t="s">
        <v>123</v>
      </c>
      <c r="C302" s="29" t="s">
        <v>114</v>
      </c>
      <c r="D302" s="29" t="s">
        <v>139</v>
      </c>
      <c r="E302" s="131" t="s">
        <v>156</v>
      </c>
      <c r="F302" s="28"/>
      <c r="G302" s="30">
        <f>'Прилож №5'!H400</f>
        <v>10180.2</v>
      </c>
      <c r="H302" s="193">
        <f>'Прилож №5'!I400</f>
        <v>0</v>
      </c>
      <c r="I302" s="1"/>
      <c r="J302" s="1"/>
      <c r="K302" s="1"/>
      <c r="L302" s="1"/>
      <c r="M302" s="1"/>
      <c r="N302" s="1"/>
    </row>
    <row r="303" spans="1:14" s="4" customFormat="1" ht="30">
      <c r="A303" s="71" t="s">
        <v>74</v>
      </c>
      <c r="B303" s="33" t="s">
        <v>123</v>
      </c>
      <c r="C303" s="33" t="s">
        <v>114</v>
      </c>
      <c r="D303" s="33" t="s">
        <v>28</v>
      </c>
      <c r="E303" s="154"/>
      <c r="F303" s="32"/>
      <c r="G303" s="34">
        <f>G304+G306</f>
        <v>11117</v>
      </c>
      <c r="H303" s="198">
        <f>H304+H306</f>
        <v>0</v>
      </c>
      <c r="I303" s="1"/>
      <c r="J303" s="1"/>
      <c r="K303" s="1"/>
      <c r="L303" s="1"/>
      <c r="M303" s="1"/>
      <c r="N303" s="1"/>
    </row>
    <row r="304" spans="1:14" s="4" customFormat="1" ht="27.75" customHeight="1">
      <c r="A304" s="184" t="s">
        <v>239</v>
      </c>
      <c r="B304" s="29" t="s">
        <v>123</v>
      </c>
      <c r="C304" s="29" t="s">
        <v>114</v>
      </c>
      <c r="D304" s="29" t="s">
        <v>249</v>
      </c>
      <c r="E304" s="131"/>
      <c r="F304" s="32"/>
      <c r="G304" s="30">
        <f>G305</f>
        <v>283.7</v>
      </c>
      <c r="H304" s="193">
        <f>H305</f>
        <v>0</v>
      </c>
      <c r="I304" s="1"/>
      <c r="J304" s="1"/>
      <c r="K304" s="1"/>
      <c r="L304" s="1"/>
      <c r="M304" s="1"/>
      <c r="N304" s="1"/>
    </row>
    <row r="305" spans="1:14" s="4" customFormat="1" ht="15.75">
      <c r="A305" s="185" t="s">
        <v>155</v>
      </c>
      <c r="B305" s="29" t="s">
        <v>123</v>
      </c>
      <c r="C305" s="29" t="s">
        <v>114</v>
      </c>
      <c r="D305" s="29" t="s">
        <v>249</v>
      </c>
      <c r="E305" s="131" t="s">
        <v>156</v>
      </c>
      <c r="F305" s="32"/>
      <c r="G305" s="30">
        <f>'Прилож №5'!H403</f>
        <v>283.7</v>
      </c>
      <c r="H305" s="193">
        <f>'Прилож №5'!I403</f>
        <v>0</v>
      </c>
      <c r="I305" s="1"/>
      <c r="J305" s="1"/>
      <c r="K305" s="1"/>
      <c r="L305" s="1"/>
      <c r="M305" s="1"/>
      <c r="N305" s="1"/>
    </row>
    <row r="306" spans="1:14" s="4" customFormat="1" ht="15.75">
      <c r="A306" s="109" t="s">
        <v>18</v>
      </c>
      <c r="B306" s="29" t="s">
        <v>123</v>
      </c>
      <c r="C306" s="29" t="s">
        <v>114</v>
      </c>
      <c r="D306" s="29" t="s">
        <v>140</v>
      </c>
      <c r="E306" s="131"/>
      <c r="F306" s="28"/>
      <c r="G306" s="30">
        <f>G307</f>
        <v>10833.3</v>
      </c>
      <c r="H306" s="193">
        <f>H307</f>
        <v>0</v>
      </c>
      <c r="I306" s="1"/>
      <c r="J306" s="1"/>
      <c r="K306" s="1"/>
      <c r="L306" s="1"/>
      <c r="M306" s="1"/>
      <c r="N306" s="1"/>
    </row>
    <row r="307" spans="1:14" s="4" customFormat="1" ht="15.75">
      <c r="A307" s="108" t="s">
        <v>103</v>
      </c>
      <c r="B307" s="29" t="s">
        <v>123</v>
      </c>
      <c r="C307" s="29" t="s">
        <v>114</v>
      </c>
      <c r="D307" s="29" t="s">
        <v>140</v>
      </c>
      <c r="E307" s="131" t="s">
        <v>156</v>
      </c>
      <c r="F307" s="28"/>
      <c r="G307" s="30">
        <f>'Прилож №5'!H405</f>
        <v>10833.3</v>
      </c>
      <c r="H307" s="193">
        <f>'Прилож №5'!I405</f>
        <v>0</v>
      </c>
      <c r="I307" s="1"/>
      <c r="J307" s="1"/>
      <c r="K307" s="1"/>
      <c r="L307" s="1"/>
      <c r="M307" s="1"/>
      <c r="N307" s="1"/>
    </row>
    <row r="308" spans="1:14" s="4" customFormat="1" ht="15.75">
      <c r="A308" s="53" t="s">
        <v>228</v>
      </c>
      <c r="B308" s="33" t="s">
        <v>123</v>
      </c>
      <c r="C308" s="33" t="s">
        <v>116</v>
      </c>
      <c r="D308" s="33"/>
      <c r="E308" s="155"/>
      <c r="F308" s="130" t="s">
        <v>36</v>
      </c>
      <c r="G308" s="50">
        <f>G309+G312+G314+G319</f>
        <v>20396</v>
      </c>
      <c r="H308" s="50">
        <f>H309+H312+H314+H319</f>
        <v>0</v>
      </c>
      <c r="I308" s="1"/>
      <c r="J308" s="1"/>
      <c r="K308" s="1"/>
      <c r="L308" s="1"/>
      <c r="M308" s="1"/>
      <c r="N308" s="1"/>
    </row>
    <row r="309" spans="1:14" s="4" customFormat="1" ht="15.75">
      <c r="A309" s="110" t="s">
        <v>95</v>
      </c>
      <c r="B309" s="29" t="s">
        <v>123</v>
      </c>
      <c r="C309" s="29" t="s">
        <v>116</v>
      </c>
      <c r="D309" s="49" t="s">
        <v>157</v>
      </c>
      <c r="E309" s="155"/>
      <c r="F309" s="130"/>
      <c r="G309" s="50">
        <f>G310</f>
        <v>7358.5</v>
      </c>
      <c r="H309" s="197">
        <f>H310</f>
        <v>0</v>
      </c>
      <c r="I309" s="1"/>
      <c r="J309" s="1"/>
      <c r="K309" s="1"/>
      <c r="L309" s="1"/>
      <c r="M309" s="1"/>
      <c r="N309" s="1"/>
    </row>
    <row r="310" spans="1:14" s="4" customFormat="1" ht="15.75">
      <c r="A310" s="112" t="s">
        <v>37</v>
      </c>
      <c r="B310" s="29" t="s">
        <v>123</v>
      </c>
      <c r="C310" s="29" t="s">
        <v>116</v>
      </c>
      <c r="D310" s="49" t="s">
        <v>159</v>
      </c>
      <c r="E310" s="155"/>
      <c r="F310" s="130"/>
      <c r="G310" s="50">
        <f>G311</f>
        <v>7358.5</v>
      </c>
      <c r="H310" s="197">
        <f>H311</f>
        <v>0</v>
      </c>
      <c r="I310" s="1"/>
      <c r="J310" s="1"/>
      <c r="K310" s="1"/>
      <c r="L310" s="1"/>
      <c r="M310" s="1"/>
      <c r="N310" s="1"/>
    </row>
    <row r="311" spans="1:14" s="4" customFormat="1" ht="15.75">
      <c r="A311" s="186" t="s">
        <v>152</v>
      </c>
      <c r="B311" s="29" t="s">
        <v>123</v>
      </c>
      <c r="C311" s="29" t="s">
        <v>116</v>
      </c>
      <c r="D311" s="29" t="s">
        <v>159</v>
      </c>
      <c r="E311" s="153" t="s">
        <v>158</v>
      </c>
      <c r="F311" s="56" t="s">
        <v>158</v>
      </c>
      <c r="G311" s="50">
        <f>'Прилож №5'!H409</f>
        <v>7358.5</v>
      </c>
      <c r="H311" s="197">
        <f>'Прилож №5'!I409</f>
        <v>0</v>
      </c>
      <c r="I311" s="1"/>
      <c r="J311" s="1"/>
      <c r="K311" s="1"/>
      <c r="L311" s="1"/>
      <c r="M311" s="1"/>
      <c r="N311" s="1"/>
    </row>
    <row r="312" spans="1:14" s="4" customFormat="1" ht="33" customHeight="1">
      <c r="A312" s="184" t="s">
        <v>239</v>
      </c>
      <c r="B312" s="29" t="s">
        <v>123</v>
      </c>
      <c r="C312" s="29" t="s">
        <v>116</v>
      </c>
      <c r="D312" s="29" t="s">
        <v>240</v>
      </c>
      <c r="E312" s="153"/>
      <c r="F312" s="56"/>
      <c r="G312" s="50">
        <f>G313</f>
        <v>56.099999999999994</v>
      </c>
      <c r="H312" s="197">
        <f>H313</f>
        <v>0</v>
      </c>
      <c r="I312" s="1"/>
      <c r="J312" s="1"/>
      <c r="K312" s="1"/>
      <c r="L312" s="1"/>
      <c r="M312" s="1"/>
      <c r="N312" s="1"/>
    </row>
    <row r="313" spans="1:14" s="4" customFormat="1" ht="15.75">
      <c r="A313" s="186" t="s">
        <v>152</v>
      </c>
      <c r="B313" s="29" t="s">
        <v>123</v>
      </c>
      <c r="C313" s="29" t="s">
        <v>116</v>
      </c>
      <c r="D313" s="29" t="s">
        <v>240</v>
      </c>
      <c r="E313" s="153" t="s">
        <v>158</v>
      </c>
      <c r="F313" s="56"/>
      <c r="G313" s="50">
        <f>'Прилож №5'!H411</f>
        <v>56.099999999999994</v>
      </c>
      <c r="H313" s="197">
        <f>'Прилож №5'!I411</f>
        <v>0</v>
      </c>
      <c r="I313" s="1"/>
      <c r="J313" s="1"/>
      <c r="K313" s="1"/>
      <c r="L313" s="1"/>
      <c r="M313" s="1"/>
      <c r="N313" s="1"/>
    </row>
    <row r="314" spans="1:14" s="4" customFormat="1" ht="57.75">
      <c r="A314" s="113" t="s">
        <v>73</v>
      </c>
      <c r="B314" s="29" t="s">
        <v>123</v>
      </c>
      <c r="C314" s="29" t="s">
        <v>116</v>
      </c>
      <c r="D314" s="29" t="s">
        <v>29</v>
      </c>
      <c r="E314" s="131"/>
      <c r="F314" s="56"/>
      <c r="G314" s="30">
        <f>G315+G317</f>
        <v>6052.2</v>
      </c>
      <c r="H314" s="193">
        <f>H315+H317</f>
        <v>0</v>
      </c>
      <c r="I314" s="1"/>
      <c r="J314" s="1"/>
      <c r="K314" s="1"/>
      <c r="L314" s="1"/>
      <c r="M314" s="1"/>
      <c r="N314" s="1"/>
    </row>
    <row r="315" spans="1:14" s="4" customFormat="1" ht="31.5" customHeight="1">
      <c r="A315" s="184" t="s">
        <v>239</v>
      </c>
      <c r="B315" s="29" t="s">
        <v>123</v>
      </c>
      <c r="C315" s="29" t="s">
        <v>116</v>
      </c>
      <c r="D315" s="29" t="s">
        <v>244</v>
      </c>
      <c r="E315" s="131"/>
      <c r="F315" s="56"/>
      <c r="G315" s="30">
        <f>G316</f>
        <v>58.2</v>
      </c>
      <c r="H315" s="193">
        <f>H316</f>
        <v>0</v>
      </c>
      <c r="I315" s="1"/>
      <c r="J315" s="1"/>
      <c r="K315" s="1"/>
      <c r="L315" s="1"/>
      <c r="M315" s="1"/>
      <c r="N315" s="1"/>
    </row>
    <row r="316" spans="1:14" s="4" customFormat="1" ht="15.75">
      <c r="A316" s="108" t="s">
        <v>155</v>
      </c>
      <c r="B316" s="29" t="s">
        <v>123</v>
      </c>
      <c r="C316" s="29" t="s">
        <v>116</v>
      </c>
      <c r="D316" s="29" t="s">
        <v>244</v>
      </c>
      <c r="E316" s="131" t="s">
        <v>156</v>
      </c>
      <c r="F316" s="56"/>
      <c r="G316" s="30">
        <f>'Прилож №5'!H414</f>
        <v>58.2</v>
      </c>
      <c r="H316" s="193">
        <f>'Прилож №5'!I414</f>
        <v>0</v>
      </c>
      <c r="I316" s="1"/>
      <c r="J316" s="1"/>
      <c r="K316" s="1"/>
      <c r="L316" s="1"/>
      <c r="M316" s="1"/>
      <c r="N316" s="1"/>
    </row>
    <row r="317" spans="1:14" s="4" customFormat="1" ht="15.75">
      <c r="A317" s="109" t="s">
        <v>18</v>
      </c>
      <c r="B317" s="29" t="s">
        <v>123</v>
      </c>
      <c r="C317" s="29" t="s">
        <v>116</v>
      </c>
      <c r="D317" s="29" t="s">
        <v>135</v>
      </c>
      <c r="E317" s="131"/>
      <c r="F317" s="56"/>
      <c r="G317" s="30">
        <f>G318</f>
        <v>5994</v>
      </c>
      <c r="H317" s="193">
        <f>H318</f>
        <v>0</v>
      </c>
      <c r="I317" s="1"/>
      <c r="J317" s="1"/>
      <c r="K317" s="1"/>
      <c r="L317" s="1"/>
      <c r="M317" s="1"/>
      <c r="N317" s="1"/>
    </row>
    <row r="318" spans="1:14" s="4" customFormat="1" ht="15.75">
      <c r="A318" s="47" t="s">
        <v>155</v>
      </c>
      <c r="B318" s="38" t="s">
        <v>123</v>
      </c>
      <c r="C318" s="38" t="s">
        <v>116</v>
      </c>
      <c r="D318" s="38" t="s">
        <v>135</v>
      </c>
      <c r="E318" s="156" t="s">
        <v>156</v>
      </c>
      <c r="F318" s="157"/>
      <c r="G318" s="39">
        <f>'Прилож №5'!H416</f>
        <v>5994</v>
      </c>
      <c r="H318" s="196">
        <f>'Прилож №5'!I416</f>
        <v>0</v>
      </c>
      <c r="I318" s="1"/>
      <c r="J318" s="1"/>
      <c r="K318" s="1"/>
      <c r="L318" s="1"/>
      <c r="M318" s="1"/>
      <c r="N318" s="1"/>
    </row>
    <row r="319" spans="1:14" s="4" customFormat="1" ht="15.75">
      <c r="A319" s="112" t="s">
        <v>83</v>
      </c>
      <c r="B319" s="38" t="s">
        <v>123</v>
      </c>
      <c r="C319" s="38" t="s">
        <v>116</v>
      </c>
      <c r="D319" s="38" t="s">
        <v>84</v>
      </c>
      <c r="E319" s="156"/>
      <c r="F319" s="157"/>
      <c r="G319" s="39">
        <f>G320+G322</f>
        <v>6929.2</v>
      </c>
      <c r="H319" s="196"/>
      <c r="I319" s="1"/>
      <c r="J319" s="1"/>
      <c r="K319" s="1"/>
      <c r="L319" s="1"/>
      <c r="M319" s="1"/>
      <c r="N319" s="1"/>
    </row>
    <row r="320" spans="1:14" s="4" customFormat="1" ht="43.5">
      <c r="A320" s="115" t="s">
        <v>233</v>
      </c>
      <c r="B320" s="38" t="s">
        <v>123</v>
      </c>
      <c r="C320" s="38" t="s">
        <v>116</v>
      </c>
      <c r="D320" s="38" t="s">
        <v>136</v>
      </c>
      <c r="E320" s="131"/>
      <c r="F320" s="56"/>
      <c r="G320" s="30">
        <f>G321</f>
        <v>753.5999999999998</v>
      </c>
      <c r="H320" s="193"/>
      <c r="I320" s="1"/>
      <c r="J320" s="1"/>
      <c r="K320" s="1"/>
      <c r="L320" s="1"/>
      <c r="M320" s="1"/>
      <c r="N320" s="1"/>
    </row>
    <row r="321" spans="1:14" s="4" customFormat="1" ht="15.75">
      <c r="A321" s="126" t="s">
        <v>94</v>
      </c>
      <c r="B321" s="38" t="s">
        <v>123</v>
      </c>
      <c r="C321" s="38" t="s">
        <v>116</v>
      </c>
      <c r="D321" s="38" t="s">
        <v>136</v>
      </c>
      <c r="E321" s="217" t="s">
        <v>158</v>
      </c>
      <c r="F321" s="158"/>
      <c r="G321" s="68">
        <f>'Прилож №5'!H419</f>
        <v>753.5999999999998</v>
      </c>
      <c r="H321" s="199"/>
      <c r="I321" s="1"/>
      <c r="J321" s="1"/>
      <c r="K321" s="1"/>
      <c r="L321" s="1"/>
      <c r="M321" s="1"/>
      <c r="N321" s="1"/>
    </row>
    <row r="322" spans="1:14" s="4" customFormat="1" ht="29.25">
      <c r="A322" s="115" t="s">
        <v>214</v>
      </c>
      <c r="B322" s="38" t="s">
        <v>123</v>
      </c>
      <c r="C322" s="38" t="s">
        <v>116</v>
      </c>
      <c r="D322" s="38" t="s">
        <v>268</v>
      </c>
      <c r="E322" s="131"/>
      <c r="F322" s="56"/>
      <c r="G322" s="30">
        <f>G323+G324</f>
        <v>6175.6</v>
      </c>
      <c r="H322" s="193"/>
      <c r="I322" s="1"/>
      <c r="J322" s="1"/>
      <c r="K322" s="1"/>
      <c r="L322" s="1"/>
      <c r="M322" s="1"/>
      <c r="N322" s="1"/>
    </row>
    <row r="323" spans="1:14" s="4" customFormat="1" ht="15.75">
      <c r="A323" s="108" t="s">
        <v>155</v>
      </c>
      <c r="B323" s="29" t="s">
        <v>123</v>
      </c>
      <c r="C323" s="29" t="s">
        <v>116</v>
      </c>
      <c r="D323" s="29" t="s">
        <v>268</v>
      </c>
      <c r="E323" s="131" t="s">
        <v>156</v>
      </c>
      <c r="F323" s="56"/>
      <c r="G323" s="30">
        <f>'Прилож №5'!H421</f>
        <v>3825.7000000000003</v>
      </c>
      <c r="H323" s="193"/>
      <c r="I323" s="1"/>
      <c r="J323" s="1"/>
      <c r="K323" s="1"/>
      <c r="L323" s="1"/>
      <c r="M323" s="1"/>
      <c r="N323" s="1"/>
    </row>
    <row r="324" spans="1:14" s="4" customFormat="1" ht="16.5" thickBot="1">
      <c r="A324" s="112" t="s">
        <v>94</v>
      </c>
      <c r="B324" s="63" t="s">
        <v>123</v>
      </c>
      <c r="C324" s="63" t="s">
        <v>116</v>
      </c>
      <c r="D324" s="63" t="s">
        <v>268</v>
      </c>
      <c r="E324" s="216" t="s">
        <v>158</v>
      </c>
      <c r="F324" s="158"/>
      <c r="G324" s="200">
        <f>'Прилож №5'!H170+'Прилож №5'!H422</f>
        <v>2349.9000000000005</v>
      </c>
      <c r="H324" s="192"/>
      <c r="I324" s="1"/>
      <c r="J324" s="1"/>
      <c r="K324" s="1"/>
      <c r="L324" s="1"/>
      <c r="M324" s="1"/>
      <c r="N324" s="1"/>
    </row>
    <row r="325" spans="1:14" s="4" customFormat="1" ht="16.5" thickBot="1">
      <c r="A325" s="51" t="s">
        <v>199</v>
      </c>
      <c r="B325" s="80" t="s">
        <v>120</v>
      </c>
      <c r="C325" s="22"/>
      <c r="D325" s="22"/>
      <c r="E325" s="214"/>
      <c r="F325" s="52"/>
      <c r="G325" s="119">
        <f>G326+G345+G357+G363+G374</f>
        <v>815376</v>
      </c>
      <c r="H325" s="23">
        <f>H326+H345+H357+H363+H374</f>
        <v>807907.4</v>
      </c>
      <c r="I325" s="1"/>
      <c r="J325" s="1"/>
      <c r="K325" s="1"/>
      <c r="L325" s="1"/>
      <c r="M325" s="1"/>
      <c r="N325" s="1"/>
    </row>
    <row r="326" spans="1:14" s="4" customFormat="1" ht="16.5" thickBot="1">
      <c r="A326" s="51" t="s">
        <v>141</v>
      </c>
      <c r="B326" s="80" t="s">
        <v>120</v>
      </c>
      <c r="C326" s="22" t="s">
        <v>114</v>
      </c>
      <c r="D326" s="22"/>
      <c r="E326" s="214"/>
      <c r="F326" s="20"/>
      <c r="G326" s="23">
        <f>G327+G338</f>
        <v>337242.8</v>
      </c>
      <c r="H326" s="23">
        <f>H327+H338</f>
        <v>330162.3</v>
      </c>
      <c r="I326" s="1"/>
      <c r="J326" s="1"/>
      <c r="K326" s="1"/>
      <c r="L326" s="1"/>
      <c r="M326" s="1"/>
      <c r="N326" s="1"/>
    </row>
    <row r="327" spans="1:14" s="4" customFormat="1" ht="15.75">
      <c r="A327" s="112" t="s">
        <v>191</v>
      </c>
      <c r="B327" s="49" t="s">
        <v>120</v>
      </c>
      <c r="C327" s="91" t="s">
        <v>114</v>
      </c>
      <c r="D327" s="162" t="s">
        <v>30</v>
      </c>
      <c r="E327" s="153"/>
      <c r="F327" s="48"/>
      <c r="G327" s="50">
        <f>G328+G332+G336+G334+G330+G337</f>
        <v>334593.2</v>
      </c>
      <c r="H327" s="50">
        <f>H328+H332+H336+H334+H330</f>
        <v>327512.7</v>
      </c>
      <c r="I327" s="1"/>
      <c r="J327" s="1"/>
      <c r="K327" s="1"/>
      <c r="L327" s="1"/>
      <c r="M327" s="1"/>
      <c r="N327" s="1"/>
    </row>
    <row r="328" spans="1:14" s="4" customFormat="1" ht="43.5">
      <c r="A328" s="113" t="s">
        <v>341</v>
      </c>
      <c r="B328" s="49" t="s">
        <v>120</v>
      </c>
      <c r="C328" s="91" t="s">
        <v>114</v>
      </c>
      <c r="D328" s="29" t="s">
        <v>342</v>
      </c>
      <c r="E328" s="28"/>
      <c r="F328" s="58"/>
      <c r="G328" s="50">
        <f>G329</f>
        <v>84852.90000000002</v>
      </c>
      <c r="H328" s="50">
        <f>H329</f>
        <v>84852.90000000002</v>
      </c>
      <c r="I328" s="1"/>
      <c r="J328" s="1"/>
      <c r="K328" s="1"/>
      <c r="L328" s="1"/>
      <c r="M328" s="1"/>
      <c r="N328" s="1"/>
    </row>
    <row r="329" spans="1:14" s="4" customFormat="1" ht="15.75">
      <c r="A329" s="270" t="s">
        <v>326</v>
      </c>
      <c r="B329" s="49" t="s">
        <v>120</v>
      </c>
      <c r="C329" s="91" t="s">
        <v>114</v>
      </c>
      <c r="D329" s="29" t="s">
        <v>342</v>
      </c>
      <c r="E329" s="28" t="s">
        <v>323</v>
      </c>
      <c r="F329" s="132" t="s">
        <v>323</v>
      </c>
      <c r="G329" s="50">
        <f>'Прилож №5'!H175</f>
        <v>84852.90000000002</v>
      </c>
      <c r="H329" s="50">
        <f>'Прилож №5'!I175</f>
        <v>84852.90000000002</v>
      </c>
      <c r="I329" s="1"/>
      <c r="J329" s="1"/>
      <c r="K329" s="1"/>
      <c r="L329" s="1"/>
      <c r="M329" s="1"/>
      <c r="N329" s="1"/>
    </row>
    <row r="330" spans="1:14" s="4" customFormat="1" ht="57.75">
      <c r="A330" s="201" t="s">
        <v>359</v>
      </c>
      <c r="B330" s="49" t="s">
        <v>120</v>
      </c>
      <c r="C330" s="91" t="s">
        <v>114</v>
      </c>
      <c r="D330" s="29" t="s">
        <v>358</v>
      </c>
      <c r="E330" s="28"/>
      <c r="F330" s="132"/>
      <c r="G330" s="50">
        <f>G331</f>
        <v>1019.5</v>
      </c>
      <c r="H330" s="50">
        <f>H331</f>
        <v>952</v>
      </c>
      <c r="I330" s="1"/>
      <c r="J330" s="1"/>
      <c r="K330" s="1"/>
      <c r="L330" s="1"/>
      <c r="M330" s="1"/>
      <c r="N330" s="1"/>
    </row>
    <row r="331" spans="1:14" s="4" customFormat="1" ht="15.75">
      <c r="A331" s="270" t="s">
        <v>326</v>
      </c>
      <c r="B331" s="49" t="s">
        <v>120</v>
      </c>
      <c r="C331" s="91" t="s">
        <v>114</v>
      </c>
      <c r="D331" s="29" t="s">
        <v>358</v>
      </c>
      <c r="E331" s="28" t="s">
        <v>323</v>
      </c>
      <c r="F331" s="132"/>
      <c r="G331" s="50">
        <f>'Прилож №5'!H177</f>
        <v>1019.5</v>
      </c>
      <c r="H331" s="50">
        <f>'Прилож №5'!I177</f>
        <v>952</v>
      </c>
      <c r="I331" s="1"/>
      <c r="J331" s="1"/>
      <c r="K331" s="1"/>
      <c r="L331" s="1"/>
      <c r="M331" s="1"/>
      <c r="N331" s="1"/>
    </row>
    <row r="332" spans="1:14" s="4" customFormat="1" ht="68.25" customHeight="1">
      <c r="A332" s="113" t="s">
        <v>350</v>
      </c>
      <c r="B332" s="49" t="s">
        <v>120</v>
      </c>
      <c r="C332" s="91" t="s">
        <v>114</v>
      </c>
      <c r="D332" s="29" t="s">
        <v>347</v>
      </c>
      <c r="E332" s="28"/>
      <c r="F332" s="58"/>
      <c r="G332" s="50">
        <f>G333</f>
        <v>13727.8</v>
      </c>
      <c r="H332" s="50">
        <f>H333</f>
        <v>13727.8</v>
      </c>
      <c r="I332" s="1"/>
      <c r="J332" s="1"/>
      <c r="K332" s="1"/>
      <c r="L332" s="1"/>
      <c r="M332" s="1"/>
      <c r="N332" s="1"/>
    </row>
    <row r="333" spans="1:14" s="4" customFormat="1" ht="15.75">
      <c r="A333" s="270" t="s">
        <v>326</v>
      </c>
      <c r="B333" s="49" t="s">
        <v>120</v>
      </c>
      <c r="C333" s="91" t="s">
        <v>114</v>
      </c>
      <c r="D333" s="29" t="s">
        <v>347</v>
      </c>
      <c r="E333" s="28" t="s">
        <v>323</v>
      </c>
      <c r="F333" s="132" t="s">
        <v>323</v>
      </c>
      <c r="G333" s="50">
        <f>'Прилож №5'!H179</f>
        <v>13727.8</v>
      </c>
      <c r="H333" s="50">
        <f>'Прилож №5'!I179</f>
        <v>13727.8</v>
      </c>
      <c r="I333" s="1"/>
      <c r="J333" s="1"/>
      <c r="K333" s="1"/>
      <c r="L333" s="1"/>
      <c r="M333" s="1"/>
      <c r="N333" s="1"/>
    </row>
    <row r="334" spans="1:14" s="4" customFormat="1" ht="43.5">
      <c r="A334" s="113" t="s">
        <v>361</v>
      </c>
      <c r="B334" s="49" t="s">
        <v>120</v>
      </c>
      <c r="C334" s="84" t="s">
        <v>114</v>
      </c>
      <c r="D334" s="29" t="s">
        <v>360</v>
      </c>
      <c r="E334" s="28"/>
      <c r="F334" s="132"/>
      <c r="G334" s="50">
        <f>G335</f>
        <v>227980</v>
      </c>
      <c r="H334" s="50">
        <f>H335</f>
        <v>227980</v>
      </c>
      <c r="I334" s="1"/>
      <c r="J334" s="1"/>
      <c r="K334" s="1"/>
      <c r="L334" s="1"/>
      <c r="M334" s="1"/>
      <c r="N334" s="1"/>
    </row>
    <row r="335" spans="1:14" s="4" customFormat="1" ht="15.75">
      <c r="A335" s="270" t="s">
        <v>326</v>
      </c>
      <c r="B335" s="49" t="s">
        <v>120</v>
      </c>
      <c r="C335" s="84" t="s">
        <v>114</v>
      </c>
      <c r="D335" s="29" t="s">
        <v>360</v>
      </c>
      <c r="E335" s="28" t="s">
        <v>323</v>
      </c>
      <c r="F335" s="132" t="s">
        <v>323</v>
      </c>
      <c r="G335" s="50">
        <f>'Прилож №5'!H181</f>
        <v>227980</v>
      </c>
      <c r="H335" s="50">
        <f>'Прилож №5'!I181</f>
        <v>227980</v>
      </c>
      <c r="I335" s="1"/>
      <c r="J335" s="1"/>
      <c r="K335" s="1"/>
      <c r="L335" s="1"/>
      <c r="M335" s="1"/>
      <c r="N335" s="1"/>
    </row>
    <row r="336" spans="1:14" s="4" customFormat="1" ht="15.75">
      <c r="A336" s="108" t="s">
        <v>155</v>
      </c>
      <c r="B336" s="49" t="s">
        <v>120</v>
      </c>
      <c r="C336" s="91" t="s">
        <v>114</v>
      </c>
      <c r="D336" s="29" t="s">
        <v>348</v>
      </c>
      <c r="E336" s="28" t="s">
        <v>156</v>
      </c>
      <c r="F336" s="132" t="s">
        <v>323</v>
      </c>
      <c r="G336" s="30">
        <f>'Прилож №5'!H182</f>
        <v>6368.8</v>
      </c>
      <c r="H336" s="30"/>
      <c r="I336" s="1"/>
      <c r="J336" s="1"/>
      <c r="K336" s="1"/>
      <c r="L336" s="1"/>
      <c r="M336" s="1"/>
      <c r="N336" s="1"/>
    </row>
    <row r="337" spans="1:14" s="4" customFormat="1" ht="15.75">
      <c r="A337" s="186" t="s">
        <v>152</v>
      </c>
      <c r="B337" s="49" t="s">
        <v>120</v>
      </c>
      <c r="C337" s="91" t="s">
        <v>114</v>
      </c>
      <c r="D337" s="29" t="s">
        <v>348</v>
      </c>
      <c r="E337" s="28" t="s">
        <v>158</v>
      </c>
      <c r="F337" s="57"/>
      <c r="G337" s="30">
        <f>'Прилож №5'!H183</f>
        <v>644.2</v>
      </c>
      <c r="H337" s="30"/>
      <c r="I337" s="1"/>
      <c r="J337" s="1"/>
      <c r="K337" s="1"/>
      <c r="L337" s="1"/>
      <c r="M337" s="1"/>
      <c r="N337" s="1"/>
    </row>
    <row r="338" spans="1:14" s="4" customFormat="1" ht="15.75">
      <c r="A338" s="103" t="s">
        <v>170</v>
      </c>
      <c r="B338" s="59" t="s">
        <v>120</v>
      </c>
      <c r="C338" s="82" t="s">
        <v>114</v>
      </c>
      <c r="D338" s="33" t="s">
        <v>171</v>
      </c>
      <c r="E338" s="154"/>
      <c r="F338" s="32"/>
      <c r="G338" s="34">
        <f>G339+G341+G343</f>
        <v>2649.6</v>
      </c>
      <c r="H338" s="34">
        <f>H339+H341+H343</f>
        <v>2649.6</v>
      </c>
      <c r="I338" s="1"/>
      <c r="J338" s="1"/>
      <c r="K338" s="1"/>
      <c r="L338" s="1"/>
      <c r="M338" s="1"/>
      <c r="N338" s="1"/>
    </row>
    <row r="339" spans="1:14" s="4" customFormat="1" ht="29.25">
      <c r="A339" s="113" t="s">
        <v>343</v>
      </c>
      <c r="B339" s="49" t="s">
        <v>120</v>
      </c>
      <c r="C339" s="91" t="s">
        <v>114</v>
      </c>
      <c r="D339" s="29" t="s">
        <v>344</v>
      </c>
      <c r="E339" s="28"/>
      <c r="F339" s="58"/>
      <c r="G339" s="34">
        <f>G340</f>
        <v>2589.1</v>
      </c>
      <c r="H339" s="34">
        <f>H340</f>
        <v>2589.1</v>
      </c>
      <c r="I339" s="1"/>
      <c r="J339" s="1"/>
      <c r="K339" s="1"/>
      <c r="L339" s="1"/>
      <c r="M339" s="1"/>
      <c r="N339" s="1"/>
    </row>
    <row r="340" spans="1:14" s="4" customFormat="1" ht="15.75">
      <c r="A340" s="270" t="s">
        <v>326</v>
      </c>
      <c r="B340" s="49" t="s">
        <v>120</v>
      </c>
      <c r="C340" s="91" t="s">
        <v>114</v>
      </c>
      <c r="D340" s="29" t="s">
        <v>344</v>
      </c>
      <c r="E340" s="28" t="s">
        <v>323</v>
      </c>
      <c r="F340" s="132" t="s">
        <v>323</v>
      </c>
      <c r="G340" s="34">
        <f>'Прилож №5'!H186</f>
        <v>2589.1</v>
      </c>
      <c r="H340" s="34">
        <f>'Прилож №5'!I186</f>
        <v>2589.1</v>
      </c>
      <c r="I340" s="1"/>
      <c r="J340" s="1"/>
      <c r="K340" s="1"/>
      <c r="L340" s="1"/>
      <c r="M340" s="1"/>
      <c r="N340" s="1"/>
    </row>
    <row r="341" spans="1:14" s="4" customFormat="1" ht="43.5">
      <c r="A341" s="113" t="s">
        <v>351</v>
      </c>
      <c r="B341" s="49" t="s">
        <v>120</v>
      </c>
      <c r="C341" s="91" t="s">
        <v>114</v>
      </c>
      <c r="D341" s="29" t="s">
        <v>349</v>
      </c>
      <c r="E341" s="28"/>
      <c r="F341" s="58"/>
      <c r="G341" s="34">
        <f>G342</f>
        <v>30.5</v>
      </c>
      <c r="H341" s="34">
        <f>H342</f>
        <v>30.5</v>
      </c>
      <c r="I341" s="1"/>
      <c r="J341" s="1"/>
      <c r="K341" s="1"/>
      <c r="L341" s="1"/>
      <c r="M341" s="1"/>
      <c r="N341" s="1"/>
    </row>
    <row r="342" spans="1:14" s="4" customFormat="1" ht="15.75">
      <c r="A342" s="270" t="s">
        <v>326</v>
      </c>
      <c r="B342" s="49" t="s">
        <v>120</v>
      </c>
      <c r="C342" s="91" t="s">
        <v>114</v>
      </c>
      <c r="D342" s="29" t="s">
        <v>349</v>
      </c>
      <c r="E342" s="28" t="s">
        <v>323</v>
      </c>
      <c r="F342" s="132" t="s">
        <v>323</v>
      </c>
      <c r="G342" s="30">
        <f>'Прилож №5'!H188</f>
        <v>30.5</v>
      </c>
      <c r="H342" s="30">
        <f>'Прилож №5'!I188</f>
        <v>30.5</v>
      </c>
      <c r="I342" s="1"/>
      <c r="J342" s="1"/>
      <c r="K342" s="1"/>
      <c r="L342" s="1"/>
      <c r="M342" s="1"/>
      <c r="N342" s="1"/>
    </row>
    <row r="343" spans="1:14" s="4" customFormat="1" ht="43.5">
      <c r="A343" s="113" t="s">
        <v>361</v>
      </c>
      <c r="B343" s="49" t="s">
        <v>120</v>
      </c>
      <c r="C343" s="91" t="s">
        <v>114</v>
      </c>
      <c r="D343" s="29" t="s">
        <v>362</v>
      </c>
      <c r="E343" s="28"/>
      <c r="F343" s="132"/>
      <c r="G343" s="30">
        <f>G344</f>
        <v>30</v>
      </c>
      <c r="H343" s="30">
        <f>H344</f>
        <v>30</v>
      </c>
      <c r="I343" s="1"/>
      <c r="J343" s="1"/>
      <c r="K343" s="1"/>
      <c r="L343" s="1"/>
      <c r="M343" s="1"/>
      <c r="N343" s="1"/>
    </row>
    <row r="344" spans="1:14" s="4" customFormat="1" ht="15.75">
      <c r="A344" s="270" t="s">
        <v>326</v>
      </c>
      <c r="B344" s="49" t="s">
        <v>120</v>
      </c>
      <c r="C344" s="91" t="s">
        <v>114</v>
      </c>
      <c r="D344" s="29" t="s">
        <v>362</v>
      </c>
      <c r="E344" s="28" t="s">
        <v>323</v>
      </c>
      <c r="F344" s="132"/>
      <c r="G344" s="30">
        <f>'Прилож №5'!H190</f>
        <v>30</v>
      </c>
      <c r="H344" s="30">
        <f>'Прилож №5'!I190</f>
        <v>30</v>
      </c>
      <c r="I344" s="1"/>
      <c r="J344" s="1"/>
      <c r="K344" s="1"/>
      <c r="L344" s="1"/>
      <c r="M344" s="1"/>
      <c r="N344" s="1"/>
    </row>
    <row r="345" spans="1:14" s="3" customFormat="1" ht="15.75">
      <c r="A345" s="103" t="s">
        <v>172</v>
      </c>
      <c r="B345" s="59" t="s">
        <v>120</v>
      </c>
      <c r="C345" s="82" t="s">
        <v>115</v>
      </c>
      <c r="D345" s="33"/>
      <c r="E345" s="32"/>
      <c r="F345" s="99"/>
      <c r="G345" s="34">
        <f>G346</f>
        <v>154528.2</v>
      </c>
      <c r="H345" s="34">
        <f>H346</f>
        <v>154228.6</v>
      </c>
      <c r="I345" s="2"/>
      <c r="J345" s="2"/>
      <c r="K345" s="2"/>
      <c r="L345" s="2"/>
      <c r="M345" s="2"/>
      <c r="N345" s="2"/>
    </row>
    <row r="346" spans="1:14" s="3" customFormat="1" ht="15.75">
      <c r="A346" s="109" t="s">
        <v>173</v>
      </c>
      <c r="B346" s="49" t="s">
        <v>120</v>
      </c>
      <c r="C346" s="91" t="s">
        <v>115</v>
      </c>
      <c r="D346" s="29" t="s">
        <v>174</v>
      </c>
      <c r="E346" s="28"/>
      <c r="F346" s="58"/>
      <c r="G346" s="30">
        <f>G349+G351+G355+G347+G353</f>
        <v>154528.2</v>
      </c>
      <c r="H346" s="30">
        <f>H349+H351+H355+H347+H353</f>
        <v>154228.6</v>
      </c>
      <c r="I346" s="2"/>
      <c r="J346" s="2"/>
      <c r="K346" s="2"/>
      <c r="L346" s="2"/>
      <c r="M346" s="2"/>
      <c r="N346" s="2"/>
    </row>
    <row r="347" spans="1:14" s="3" customFormat="1" ht="43.5">
      <c r="A347" s="113" t="s">
        <v>365</v>
      </c>
      <c r="B347" s="49" t="s">
        <v>120</v>
      </c>
      <c r="C347" s="84" t="s">
        <v>115</v>
      </c>
      <c r="D347" s="29" t="s">
        <v>364</v>
      </c>
      <c r="E347" s="28"/>
      <c r="F347" s="58"/>
      <c r="G347" s="30">
        <f>G348</f>
        <v>10111.6</v>
      </c>
      <c r="H347" s="30">
        <f>H348</f>
        <v>10062</v>
      </c>
      <c r="I347" s="2"/>
      <c r="J347" s="2"/>
      <c r="K347" s="2"/>
      <c r="L347" s="2"/>
      <c r="M347" s="2"/>
      <c r="N347" s="2"/>
    </row>
    <row r="348" spans="1:14" s="3" customFormat="1" ht="15.75">
      <c r="A348" s="270" t="s">
        <v>326</v>
      </c>
      <c r="B348" s="49" t="s">
        <v>120</v>
      </c>
      <c r="C348" s="84" t="s">
        <v>115</v>
      </c>
      <c r="D348" s="29" t="s">
        <v>364</v>
      </c>
      <c r="E348" s="28" t="s">
        <v>323</v>
      </c>
      <c r="F348" s="58" t="s">
        <v>323</v>
      </c>
      <c r="G348" s="30">
        <f>'Прилож №5'!H194</f>
        <v>10111.6</v>
      </c>
      <c r="H348" s="30">
        <f>'Прилож №5'!I194</f>
        <v>10062</v>
      </c>
      <c r="I348" s="2"/>
      <c r="J348" s="2"/>
      <c r="K348" s="2"/>
      <c r="L348" s="2"/>
      <c r="M348" s="2"/>
      <c r="N348" s="2"/>
    </row>
    <row r="349" spans="1:14" s="3" customFormat="1" ht="43.5">
      <c r="A349" s="113" t="s">
        <v>353</v>
      </c>
      <c r="B349" s="49" t="s">
        <v>120</v>
      </c>
      <c r="C349" s="91" t="s">
        <v>115</v>
      </c>
      <c r="D349" s="29" t="s">
        <v>345</v>
      </c>
      <c r="E349" s="28"/>
      <c r="F349" s="58" t="s">
        <v>323</v>
      </c>
      <c r="G349" s="30">
        <f>G350</f>
        <v>132039.30000000002</v>
      </c>
      <c r="H349" s="30">
        <f>H350</f>
        <v>131789.30000000002</v>
      </c>
      <c r="I349" s="2"/>
      <c r="J349" s="2"/>
      <c r="K349" s="2"/>
      <c r="L349" s="2"/>
      <c r="M349" s="2"/>
      <c r="N349" s="2"/>
    </row>
    <row r="350" spans="1:14" s="3" customFormat="1" ht="15.75">
      <c r="A350" s="270" t="s">
        <v>326</v>
      </c>
      <c r="B350" s="49" t="s">
        <v>120</v>
      </c>
      <c r="C350" s="91" t="s">
        <v>115</v>
      </c>
      <c r="D350" s="29" t="s">
        <v>345</v>
      </c>
      <c r="E350" s="28" t="s">
        <v>323</v>
      </c>
      <c r="F350" s="58"/>
      <c r="G350" s="30">
        <f>'Прилож №5'!H195</f>
        <v>132039.30000000002</v>
      </c>
      <c r="H350" s="30">
        <f>'Прилож №5'!I195</f>
        <v>131789.30000000002</v>
      </c>
      <c r="I350" s="2"/>
      <c r="J350" s="2"/>
      <c r="K350" s="2"/>
      <c r="L350" s="2"/>
      <c r="M350" s="2"/>
      <c r="N350" s="2"/>
    </row>
    <row r="351" spans="1:14" s="3" customFormat="1" ht="57.75">
      <c r="A351" s="113" t="s">
        <v>346</v>
      </c>
      <c r="B351" s="49" t="s">
        <v>120</v>
      </c>
      <c r="C351" s="91" t="s">
        <v>115</v>
      </c>
      <c r="D351" s="29" t="s">
        <v>352</v>
      </c>
      <c r="E351" s="28"/>
      <c r="F351" s="58"/>
      <c r="G351" s="30">
        <f>G352</f>
        <v>3861.3</v>
      </c>
      <c r="H351" s="30">
        <f>H352</f>
        <v>3861.3</v>
      </c>
      <c r="I351" s="2"/>
      <c r="J351" s="2"/>
      <c r="K351" s="2"/>
      <c r="L351" s="2"/>
      <c r="M351" s="2"/>
      <c r="N351" s="2"/>
    </row>
    <row r="352" spans="1:14" s="3" customFormat="1" ht="15.75">
      <c r="A352" s="270" t="s">
        <v>326</v>
      </c>
      <c r="B352" s="49" t="s">
        <v>120</v>
      </c>
      <c r="C352" s="91" t="s">
        <v>115</v>
      </c>
      <c r="D352" s="29" t="s">
        <v>352</v>
      </c>
      <c r="E352" s="28" t="s">
        <v>323</v>
      </c>
      <c r="F352" s="58" t="s">
        <v>323</v>
      </c>
      <c r="G352" s="30">
        <f>'Прилож №5'!H197</f>
        <v>3861.3</v>
      </c>
      <c r="H352" s="30">
        <f>'Прилож №5'!I197</f>
        <v>3861.3</v>
      </c>
      <c r="I352" s="2"/>
      <c r="J352" s="2"/>
      <c r="K352" s="2"/>
      <c r="L352" s="2"/>
      <c r="M352" s="2"/>
      <c r="N352" s="2"/>
    </row>
    <row r="353" spans="1:14" s="3" customFormat="1" ht="43.5">
      <c r="A353" s="113" t="s">
        <v>367</v>
      </c>
      <c r="B353" s="49" t="s">
        <v>120</v>
      </c>
      <c r="C353" s="84" t="s">
        <v>115</v>
      </c>
      <c r="D353" s="29" t="s">
        <v>366</v>
      </c>
      <c r="E353" s="28"/>
      <c r="F353" s="58"/>
      <c r="G353" s="30">
        <f>G354</f>
        <v>8266</v>
      </c>
      <c r="H353" s="30">
        <f>H354</f>
        <v>8516</v>
      </c>
      <c r="I353" s="2"/>
      <c r="J353" s="2"/>
      <c r="K353" s="2"/>
      <c r="L353" s="2"/>
      <c r="M353" s="2"/>
      <c r="N353" s="2"/>
    </row>
    <row r="354" spans="1:14" s="3" customFormat="1" ht="15.75">
      <c r="A354" s="270" t="s">
        <v>326</v>
      </c>
      <c r="B354" s="49" t="s">
        <v>120</v>
      </c>
      <c r="C354" s="84" t="s">
        <v>115</v>
      </c>
      <c r="D354" s="29" t="s">
        <v>366</v>
      </c>
      <c r="E354" s="28" t="s">
        <v>323</v>
      </c>
      <c r="F354" s="58" t="s">
        <v>323</v>
      </c>
      <c r="G354" s="30">
        <f>'Прилож №5'!H199</f>
        <v>8266</v>
      </c>
      <c r="H354" s="30">
        <f>'Прилож №5'!I199</f>
        <v>8516</v>
      </c>
      <c r="I354" s="2"/>
      <c r="J354" s="2"/>
      <c r="K354" s="2"/>
      <c r="L354" s="2"/>
      <c r="M354" s="2"/>
      <c r="N354" s="2"/>
    </row>
    <row r="355" spans="1:14" s="4" customFormat="1" ht="15.75">
      <c r="A355" s="109" t="s">
        <v>18</v>
      </c>
      <c r="B355" s="49" t="s">
        <v>120</v>
      </c>
      <c r="C355" s="91" t="s">
        <v>115</v>
      </c>
      <c r="D355" s="29" t="s">
        <v>175</v>
      </c>
      <c r="E355" s="131"/>
      <c r="F355" s="28"/>
      <c r="G355" s="30">
        <f>G356</f>
        <v>250</v>
      </c>
      <c r="H355" s="30">
        <f>H356</f>
        <v>0</v>
      </c>
      <c r="I355" s="1"/>
      <c r="J355" s="1"/>
      <c r="K355" s="1"/>
      <c r="L355" s="1"/>
      <c r="M355" s="1"/>
      <c r="N355" s="1"/>
    </row>
    <row r="356" spans="1:14" s="4" customFormat="1" ht="15.75">
      <c r="A356" s="185" t="s">
        <v>155</v>
      </c>
      <c r="B356" s="49" t="s">
        <v>120</v>
      </c>
      <c r="C356" s="91" t="s">
        <v>115</v>
      </c>
      <c r="D356" s="29" t="s">
        <v>175</v>
      </c>
      <c r="E356" s="131" t="s">
        <v>323</v>
      </c>
      <c r="F356" s="28"/>
      <c r="G356" s="30">
        <f>'Прилож №5'!H201</f>
        <v>250</v>
      </c>
      <c r="H356" s="30">
        <f>'Прилож №5'!I201</f>
        <v>0</v>
      </c>
      <c r="I356" s="1"/>
      <c r="J356" s="1"/>
      <c r="K356" s="1"/>
      <c r="L356" s="1"/>
      <c r="M356" s="1"/>
      <c r="N356" s="1"/>
    </row>
    <row r="357" spans="1:14" s="3" customFormat="1" ht="15.75">
      <c r="A357" s="103" t="s">
        <v>176</v>
      </c>
      <c r="B357" s="59" t="s">
        <v>120</v>
      </c>
      <c r="C357" s="82" t="s">
        <v>119</v>
      </c>
      <c r="D357" s="33"/>
      <c r="E357" s="154"/>
      <c r="F357" s="32"/>
      <c r="G357" s="34">
        <f>G359+G361</f>
        <v>390.6</v>
      </c>
      <c r="H357" s="34">
        <f>H359+H361</f>
        <v>390.6</v>
      </c>
      <c r="I357" s="2"/>
      <c r="J357" s="2"/>
      <c r="K357" s="2"/>
      <c r="L357" s="2"/>
      <c r="M357" s="2"/>
      <c r="N357" s="2"/>
    </row>
    <row r="358" spans="1:14" s="3" customFormat="1" ht="15.75">
      <c r="A358" s="108" t="s">
        <v>191</v>
      </c>
      <c r="B358" s="49" t="s">
        <v>120</v>
      </c>
      <c r="C358" s="91" t="s">
        <v>119</v>
      </c>
      <c r="D358" s="29" t="s">
        <v>30</v>
      </c>
      <c r="E358" s="154"/>
      <c r="F358" s="32"/>
      <c r="G358" s="30">
        <f>G359+G361</f>
        <v>390.6</v>
      </c>
      <c r="H358" s="30">
        <f>H359+H361</f>
        <v>390.6</v>
      </c>
      <c r="I358" s="2"/>
      <c r="J358" s="2"/>
      <c r="K358" s="2"/>
      <c r="L358" s="2"/>
      <c r="M358" s="2"/>
      <c r="N358" s="2"/>
    </row>
    <row r="359" spans="1:14" s="3" customFormat="1" ht="43.5">
      <c r="A359" s="113" t="s">
        <v>341</v>
      </c>
      <c r="B359" s="49" t="s">
        <v>120</v>
      </c>
      <c r="C359" s="91" t="s">
        <v>119</v>
      </c>
      <c r="D359" s="29" t="s">
        <v>342</v>
      </c>
      <c r="E359" s="154"/>
      <c r="F359" s="32"/>
      <c r="G359" s="30">
        <f>G360</f>
        <v>390.40000000000003</v>
      </c>
      <c r="H359" s="30">
        <f>H360</f>
        <v>390.40000000000003</v>
      </c>
      <c r="I359" s="2"/>
      <c r="J359" s="2"/>
      <c r="K359" s="2"/>
      <c r="L359" s="2"/>
      <c r="M359" s="2"/>
      <c r="N359" s="2"/>
    </row>
    <row r="360" spans="1:14" s="3" customFormat="1" ht="15.75">
      <c r="A360" s="270" t="s">
        <v>326</v>
      </c>
      <c r="B360" s="49" t="s">
        <v>120</v>
      </c>
      <c r="C360" s="91" t="s">
        <v>119</v>
      </c>
      <c r="D360" s="29" t="s">
        <v>342</v>
      </c>
      <c r="E360" s="131" t="s">
        <v>323</v>
      </c>
      <c r="F360" s="28"/>
      <c r="G360" s="30">
        <f>'Прилож №5'!H205</f>
        <v>390.40000000000003</v>
      </c>
      <c r="H360" s="30">
        <f>'Прилож №5'!I205</f>
        <v>390.40000000000003</v>
      </c>
      <c r="I360" s="2"/>
      <c r="J360" s="2"/>
      <c r="K360" s="2"/>
      <c r="L360" s="2"/>
      <c r="M360" s="2"/>
      <c r="N360" s="2"/>
    </row>
    <row r="361" spans="1:14" s="3" customFormat="1" ht="57.75">
      <c r="A361" s="113" t="s">
        <v>350</v>
      </c>
      <c r="B361" s="49" t="s">
        <v>120</v>
      </c>
      <c r="C361" s="91" t="s">
        <v>119</v>
      </c>
      <c r="D361" s="29" t="s">
        <v>347</v>
      </c>
      <c r="E361" s="131"/>
      <c r="F361" s="28"/>
      <c r="G361" s="30">
        <f>G362</f>
        <v>0.2</v>
      </c>
      <c r="H361" s="30">
        <f>H362</f>
        <v>0.2</v>
      </c>
      <c r="I361" s="2"/>
      <c r="J361" s="2"/>
      <c r="K361" s="2"/>
      <c r="L361" s="2"/>
      <c r="M361" s="2"/>
      <c r="N361" s="2"/>
    </row>
    <row r="362" spans="1:14" s="3" customFormat="1" ht="15.75">
      <c r="A362" s="270" t="s">
        <v>326</v>
      </c>
      <c r="B362" s="49" t="s">
        <v>120</v>
      </c>
      <c r="C362" s="91" t="s">
        <v>119</v>
      </c>
      <c r="D362" s="29" t="s">
        <v>347</v>
      </c>
      <c r="E362" s="131" t="s">
        <v>323</v>
      </c>
      <c r="F362" s="28"/>
      <c r="G362" s="30">
        <f>'Прилож №5'!H207</f>
        <v>0.2</v>
      </c>
      <c r="H362" s="30">
        <f>'Прилож №5'!I207</f>
        <v>0.2</v>
      </c>
      <c r="I362" s="2"/>
      <c r="J362" s="2"/>
      <c r="K362" s="2"/>
      <c r="L362" s="2"/>
      <c r="M362" s="2"/>
      <c r="N362" s="2"/>
    </row>
    <row r="363" spans="1:14" s="3" customFormat="1" ht="15.75">
      <c r="A363" s="103" t="s">
        <v>177</v>
      </c>
      <c r="B363" s="59" t="s">
        <v>120</v>
      </c>
      <c r="C363" s="82" t="s">
        <v>116</v>
      </c>
      <c r="D363" s="33"/>
      <c r="E363" s="28"/>
      <c r="F363" s="58"/>
      <c r="G363" s="34">
        <f>G364+G371</f>
        <v>54289.5</v>
      </c>
      <c r="H363" s="34">
        <f>H364+H371</f>
        <v>54289.5</v>
      </c>
      <c r="I363" s="2"/>
      <c r="J363" s="2"/>
      <c r="K363" s="2"/>
      <c r="L363" s="2"/>
      <c r="M363" s="2"/>
      <c r="N363" s="2"/>
    </row>
    <row r="364" spans="1:14" s="3" customFormat="1" ht="15.75">
      <c r="A364" s="109" t="s">
        <v>178</v>
      </c>
      <c r="B364" s="49" t="s">
        <v>120</v>
      </c>
      <c r="C364" s="91" t="s">
        <v>116</v>
      </c>
      <c r="D364" s="29" t="s">
        <v>179</v>
      </c>
      <c r="E364" s="28"/>
      <c r="F364" s="58"/>
      <c r="G364" s="30">
        <f>G365+G367+G370</f>
        <v>51243.5</v>
      </c>
      <c r="H364" s="30">
        <f>H365+H367+H370</f>
        <v>51243.5</v>
      </c>
      <c r="I364" s="2"/>
      <c r="J364" s="2"/>
      <c r="K364" s="2"/>
      <c r="L364" s="2"/>
      <c r="M364" s="2"/>
      <c r="N364" s="2"/>
    </row>
    <row r="365" spans="1:14" s="3" customFormat="1" ht="29.25">
      <c r="A365" s="113" t="s">
        <v>355</v>
      </c>
      <c r="B365" s="49" t="s">
        <v>120</v>
      </c>
      <c r="C365" s="91" t="s">
        <v>116</v>
      </c>
      <c r="D365" s="29" t="s">
        <v>354</v>
      </c>
      <c r="E365" s="28"/>
      <c r="F365" s="58"/>
      <c r="G365" s="30">
        <f>G366</f>
        <v>50878.3</v>
      </c>
      <c r="H365" s="30">
        <f>H366</f>
        <v>50878.3</v>
      </c>
      <c r="I365" s="2"/>
      <c r="J365" s="2"/>
      <c r="K365" s="2"/>
      <c r="L365" s="2"/>
      <c r="M365" s="2"/>
      <c r="N365" s="2"/>
    </row>
    <row r="366" spans="1:14" s="3" customFormat="1" ht="15.75">
      <c r="A366" s="270" t="s">
        <v>326</v>
      </c>
      <c r="B366" s="49" t="s">
        <v>120</v>
      </c>
      <c r="C366" s="91" t="s">
        <v>116</v>
      </c>
      <c r="D366" s="29" t="s">
        <v>354</v>
      </c>
      <c r="E366" s="28" t="s">
        <v>323</v>
      </c>
      <c r="F366" s="58" t="s">
        <v>323</v>
      </c>
      <c r="G366" s="30">
        <f>'Прилож №5'!H211</f>
        <v>50878.3</v>
      </c>
      <c r="H366" s="30">
        <f>'Прилож №5'!I211</f>
        <v>50878.3</v>
      </c>
      <c r="I366" s="2"/>
      <c r="J366" s="2"/>
      <c r="K366" s="2"/>
      <c r="L366" s="2"/>
      <c r="M366" s="2"/>
      <c r="N366" s="2"/>
    </row>
    <row r="367" spans="1:14" s="3" customFormat="1" ht="43.5">
      <c r="A367" s="113" t="s">
        <v>356</v>
      </c>
      <c r="B367" s="49" t="s">
        <v>120</v>
      </c>
      <c r="C367" s="91" t="s">
        <v>116</v>
      </c>
      <c r="D367" s="29" t="s">
        <v>357</v>
      </c>
      <c r="E367" s="29"/>
      <c r="F367" s="58"/>
      <c r="G367" s="30">
        <f>G368</f>
        <v>65.2</v>
      </c>
      <c r="H367" s="30">
        <f>H368</f>
        <v>65.2</v>
      </c>
      <c r="I367" s="2"/>
      <c r="J367" s="2"/>
      <c r="K367" s="2"/>
      <c r="L367" s="2"/>
      <c r="M367" s="2"/>
      <c r="N367" s="2"/>
    </row>
    <row r="368" spans="1:14" s="4" customFormat="1" ht="15.75">
      <c r="A368" s="270" t="s">
        <v>326</v>
      </c>
      <c r="B368" s="49" t="s">
        <v>120</v>
      </c>
      <c r="C368" s="91" t="s">
        <v>116</v>
      </c>
      <c r="D368" s="38" t="s">
        <v>357</v>
      </c>
      <c r="E368" s="63" t="s">
        <v>323</v>
      </c>
      <c r="F368" s="150" t="s">
        <v>323</v>
      </c>
      <c r="G368" s="39">
        <f>'Прилож №5'!H213</f>
        <v>65.2</v>
      </c>
      <c r="H368" s="30">
        <f>'Прилож №5'!I213</f>
        <v>65.2</v>
      </c>
      <c r="I368" s="1"/>
      <c r="J368" s="1"/>
      <c r="K368" s="1"/>
      <c r="L368" s="1"/>
      <c r="M368" s="1"/>
      <c r="N368" s="1"/>
    </row>
    <row r="369" spans="1:14" s="4" customFormat="1" ht="29.25">
      <c r="A369" s="113" t="s">
        <v>369</v>
      </c>
      <c r="B369" s="49" t="s">
        <v>120</v>
      </c>
      <c r="C369" s="84" t="s">
        <v>116</v>
      </c>
      <c r="D369" s="84" t="s">
        <v>368</v>
      </c>
      <c r="E369" s="29"/>
      <c r="F369" s="151"/>
      <c r="G369" s="30">
        <f>G370</f>
        <v>300</v>
      </c>
      <c r="H369" s="193">
        <f>H370</f>
        <v>300</v>
      </c>
      <c r="I369" s="1"/>
      <c r="J369" s="1"/>
      <c r="K369" s="1"/>
      <c r="L369" s="1"/>
      <c r="M369" s="1"/>
      <c r="N369" s="1"/>
    </row>
    <row r="370" spans="1:14" s="4" customFormat="1" ht="15.75">
      <c r="A370" s="270" t="s">
        <v>326</v>
      </c>
      <c r="B370" s="49" t="s">
        <v>120</v>
      </c>
      <c r="C370" s="89" t="s">
        <v>116</v>
      </c>
      <c r="D370" s="89" t="s">
        <v>368</v>
      </c>
      <c r="E370" s="38" t="s">
        <v>323</v>
      </c>
      <c r="F370" s="150" t="s">
        <v>323</v>
      </c>
      <c r="G370" s="39">
        <f>'Прилож №5'!H215</f>
        <v>300</v>
      </c>
      <c r="H370" s="196">
        <f>'Прилож №5'!I215</f>
        <v>300</v>
      </c>
      <c r="I370" s="1"/>
      <c r="J370" s="1"/>
      <c r="K370" s="1"/>
      <c r="L370" s="1"/>
      <c r="M370" s="1"/>
      <c r="N370" s="1"/>
    </row>
    <row r="371" spans="1:14" s="4" customFormat="1" ht="15.75">
      <c r="A371" s="109" t="s">
        <v>79</v>
      </c>
      <c r="B371" s="67" t="s">
        <v>120</v>
      </c>
      <c r="C371" s="89" t="s">
        <v>116</v>
      </c>
      <c r="D371" s="89" t="s">
        <v>63</v>
      </c>
      <c r="E371" s="29"/>
      <c r="F371" s="28"/>
      <c r="G371" s="30">
        <f>G372</f>
        <v>3046</v>
      </c>
      <c r="H371" s="196">
        <f>H372</f>
        <v>3046</v>
      </c>
      <c r="I371" s="1"/>
      <c r="J371" s="1"/>
      <c r="K371" s="1"/>
      <c r="L371" s="1"/>
      <c r="M371" s="1"/>
      <c r="N371" s="1"/>
    </row>
    <row r="372" spans="1:14" s="4" customFormat="1" ht="43.5">
      <c r="A372" s="113" t="s">
        <v>180</v>
      </c>
      <c r="B372" s="84" t="s">
        <v>120</v>
      </c>
      <c r="C372" s="84" t="s">
        <v>116</v>
      </c>
      <c r="D372" s="84" t="s">
        <v>160</v>
      </c>
      <c r="E372" s="29"/>
      <c r="F372" s="28"/>
      <c r="G372" s="30">
        <f>G373</f>
        <v>3046</v>
      </c>
      <c r="H372" s="193">
        <f>H373</f>
        <v>3046</v>
      </c>
      <c r="I372" s="1"/>
      <c r="J372" s="1"/>
      <c r="K372" s="1"/>
      <c r="L372" s="1"/>
      <c r="M372" s="1"/>
      <c r="N372" s="1"/>
    </row>
    <row r="373" spans="1:14" s="4" customFormat="1" ht="15.75">
      <c r="A373" s="317" t="s">
        <v>326</v>
      </c>
      <c r="B373" s="84" t="s">
        <v>120</v>
      </c>
      <c r="C373" s="84" t="s">
        <v>116</v>
      </c>
      <c r="D373" s="84" t="s">
        <v>160</v>
      </c>
      <c r="E373" s="29" t="s">
        <v>323</v>
      </c>
      <c r="F373" s="75"/>
      <c r="G373" s="319">
        <f>'Прилож №5'!H218</f>
        <v>3046</v>
      </c>
      <c r="H373" s="193">
        <f>'Прилож №5'!I218</f>
        <v>3046</v>
      </c>
      <c r="I373" s="1"/>
      <c r="J373" s="1"/>
      <c r="K373" s="1"/>
      <c r="L373" s="1"/>
      <c r="M373" s="1"/>
      <c r="N373" s="1"/>
    </row>
    <row r="374" spans="1:14" s="4" customFormat="1" ht="15.75">
      <c r="A374" s="318" t="s">
        <v>405</v>
      </c>
      <c r="B374" s="84" t="s">
        <v>120</v>
      </c>
      <c r="C374" s="84" t="s">
        <v>120</v>
      </c>
      <c r="D374" s="29"/>
      <c r="E374" s="29"/>
      <c r="F374" s="75"/>
      <c r="G374" s="319">
        <f>G376</f>
        <v>268924.9</v>
      </c>
      <c r="H374" s="319">
        <f>H376</f>
        <v>268836.4</v>
      </c>
      <c r="I374" s="1"/>
      <c r="J374" s="1"/>
      <c r="K374" s="1"/>
      <c r="L374" s="1"/>
      <c r="M374" s="1"/>
      <c r="N374" s="1"/>
    </row>
    <row r="375" spans="1:14" s="4" customFormat="1" ht="15.75">
      <c r="A375" s="112" t="s">
        <v>230</v>
      </c>
      <c r="B375" s="84" t="s">
        <v>120</v>
      </c>
      <c r="C375" s="84" t="s">
        <v>120</v>
      </c>
      <c r="D375" s="29" t="s">
        <v>229</v>
      </c>
      <c r="E375" s="29"/>
      <c r="F375" s="75"/>
      <c r="G375" s="319">
        <f aca="true" t="shared" si="7" ref="G375:H377">G376</f>
        <v>268924.9</v>
      </c>
      <c r="H375" s="319">
        <f t="shared" si="7"/>
        <v>268836.4</v>
      </c>
      <c r="I375" s="1"/>
      <c r="J375" s="1"/>
      <c r="K375" s="1"/>
      <c r="L375" s="1"/>
      <c r="M375" s="1"/>
      <c r="N375" s="1"/>
    </row>
    <row r="376" spans="1:14" s="4" customFormat="1" ht="43.5">
      <c r="A376" s="252" t="s">
        <v>403</v>
      </c>
      <c r="B376" s="84" t="s">
        <v>120</v>
      </c>
      <c r="C376" s="84" t="s">
        <v>120</v>
      </c>
      <c r="D376" s="29" t="s">
        <v>402</v>
      </c>
      <c r="E376" s="29"/>
      <c r="F376" s="75"/>
      <c r="G376" s="319">
        <f t="shared" si="7"/>
        <v>268924.9</v>
      </c>
      <c r="H376" s="319">
        <f t="shared" si="7"/>
        <v>268836.4</v>
      </c>
      <c r="I376" s="1"/>
      <c r="J376" s="1"/>
      <c r="K376" s="1"/>
      <c r="L376" s="1"/>
      <c r="M376" s="1"/>
      <c r="N376" s="1"/>
    </row>
    <row r="377" spans="1:14" s="4" customFormat="1" ht="29.25">
      <c r="A377" s="201" t="s">
        <v>404</v>
      </c>
      <c r="B377" s="84" t="s">
        <v>120</v>
      </c>
      <c r="C377" s="84" t="s">
        <v>120</v>
      </c>
      <c r="D377" s="29" t="s">
        <v>401</v>
      </c>
      <c r="E377" s="29"/>
      <c r="F377" s="75"/>
      <c r="G377" s="319">
        <f t="shared" si="7"/>
        <v>268924.9</v>
      </c>
      <c r="H377" s="319">
        <f t="shared" si="7"/>
        <v>268836.4</v>
      </c>
      <c r="I377" s="1"/>
      <c r="J377" s="1"/>
      <c r="K377" s="1"/>
      <c r="L377" s="1"/>
      <c r="M377" s="1"/>
      <c r="N377" s="1"/>
    </row>
    <row r="378" spans="1:14" s="4" customFormat="1" ht="16.5" thickBot="1">
      <c r="A378" s="270" t="s">
        <v>326</v>
      </c>
      <c r="B378" s="84" t="s">
        <v>120</v>
      </c>
      <c r="C378" s="84" t="s">
        <v>120</v>
      </c>
      <c r="D378" s="29" t="s">
        <v>401</v>
      </c>
      <c r="E378" s="132" t="s">
        <v>323</v>
      </c>
      <c r="F378" s="321"/>
      <c r="G378" s="320">
        <f>'Прилож №5'!H223</f>
        <v>268924.9</v>
      </c>
      <c r="H378" s="320">
        <f>'Прилож №5'!I223</f>
        <v>268836.4</v>
      </c>
      <c r="I378" s="1"/>
      <c r="J378" s="1"/>
      <c r="K378" s="1"/>
      <c r="L378" s="1"/>
      <c r="M378" s="1"/>
      <c r="N378" s="1"/>
    </row>
    <row r="379" spans="1:14" s="4" customFormat="1" ht="16.5" thickBot="1">
      <c r="A379" s="51" t="s">
        <v>3</v>
      </c>
      <c r="B379" s="80" t="s">
        <v>121</v>
      </c>
      <c r="C379" s="22"/>
      <c r="D379" s="22"/>
      <c r="E379" s="214"/>
      <c r="F379" s="129" t="s">
        <v>158</v>
      </c>
      <c r="G379" s="119">
        <f>G380+G384+G407+G414</f>
        <v>99283.09999999998</v>
      </c>
      <c r="H379" s="23">
        <f>H380+H384+H407+H414</f>
        <v>65923.9</v>
      </c>
      <c r="I379" s="1"/>
      <c r="J379" s="1"/>
      <c r="K379" s="1"/>
      <c r="L379" s="1"/>
      <c r="M379" s="1"/>
      <c r="N379" s="1"/>
    </row>
    <row r="380" spans="1:14" s="4" customFormat="1" ht="15.75">
      <c r="A380" s="15" t="s">
        <v>33</v>
      </c>
      <c r="B380" s="59" t="s">
        <v>121</v>
      </c>
      <c r="C380" s="95" t="s">
        <v>114</v>
      </c>
      <c r="D380" s="107"/>
      <c r="E380" s="155"/>
      <c r="F380" s="36"/>
      <c r="G380" s="61">
        <f aca="true" t="shared" si="8" ref="G380:H382">G381</f>
        <v>1375.4</v>
      </c>
      <c r="H380" s="61">
        <f t="shared" si="8"/>
        <v>0</v>
      </c>
      <c r="I380" s="1"/>
      <c r="J380" s="1"/>
      <c r="K380" s="1"/>
      <c r="L380" s="1"/>
      <c r="M380" s="1"/>
      <c r="N380" s="1"/>
    </row>
    <row r="381" spans="1:14" s="4" customFormat="1" ht="15.75">
      <c r="A381" s="108" t="s">
        <v>144</v>
      </c>
      <c r="B381" s="29" t="s">
        <v>121</v>
      </c>
      <c r="C381" s="84" t="s">
        <v>114</v>
      </c>
      <c r="D381" s="29" t="s">
        <v>145</v>
      </c>
      <c r="E381" s="131"/>
      <c r="F381" s="28"/>
      <c r="G381" s="30">
        <f t="shared" si="8"/>
        <v>1375.4</v>
      </c>
      <c r="H381" s="30">
        <f t="shared" si="8"/>
        <v>0</v>
      </c>
      <c r="I381" s="1"/>
      <c r="J381" s="1"/>
      <c r="K381" s="1"/>
      <c r="L381" s="1"/>
      <c r="M381" s="1"/>
      <c r="N381" s="1"/>
    </row>
    <row r="382" spans="1:14" s="4" customFormat="1" ht="29.25">
      <c r="A382" s="110" t="s">
        <v>75</v>
      </c>
      <c r="B382" s="29" t="s">
        <v>121</v>
      </c>
      <c r="C382" s="84" t="s">
        <v>114</v>
      </c>
      <c r="D382" s="29" t="s">
        <v>146</v>
      </c>
      <c r="E382" s="131"/>
      <c r="F382" s="28"/>
      <c r="G382" s="30">
        <f t="shared" si="8"/>
        <v>1375.4</v>
      </c>
      <c r="H382" s="30">
        <f t="shared" si="8"/>
        <v>0</v>
      </c>
      <c r="I382" s="1"/>
      <c r="J382" s="1"/>
      <c r="K382" s="1"/>
      <c r="L382" s="1"/>
      <c r="M382" s="1"/>
      <c r="N382" s="1"/>
    </row>
    <row r="383" spans="1:14" s="4" customFormat="1" ht="15.75">
      <c r="A383" s="110" t="s">
        <v>100</v>
      </c>
      <c r="B383" s="38" t="s">
        <v>121</v>
      </c>
      <c r="C383" s="84" t="s">
        <v>114</v>
      </c>
      <c r="D383" s="29" t="s">
        <v>146</v>
      </c>
      <c r="E383" s="156" t="s">
        <v>38</v>
      </c>
      <c r="F383" s="28"/>
      <c r="G383" s="30">
        <f>'Прилож №5'!H228</f>
        <v>1375.4</v>
      </c>
      <c r="H383" s="30">
        <f>'Прилож №5'!I228</f>
        <v>0</v>
      </c>
      <c r="I383" s="1"/>
      <c r="J383" s="1"/>
      <c r="K383" s="1"/>
      <c r="L383" s="1"/>
      <c r="M383" s="1"/>
      <c r="N383" s="1"/>
    </row>
    <row r="384" spans="1:14" s="4" customFormat="1" ht="15.75">
      <c r="A384" s="53" t="s">
        <v>64</v>
      </c>
      <c r="B384" s="33" t="s">
        <v>121</v>
      </c>
      <c r="C384" s="85" t="s">
        <v>119</v>
      </c>
      <c r="D384" s="84"/>
      <c r="E384" s="38"/>
      <c r="F384" s="28"/>
      <c r="G384" s="30">
        <f>G391+G404+G388+G401+G390</f>
        <v>74495.79999999999</v>
      </c>
      <c r="H384" s="30">
        <f>H391+H404+H388+H401+H390</f>
        <v>50378.4</v>
      </c>
      <c r="I384" s="1"/>
      <c r="J384" s="1"/>
      <c r="K384" s="1"/>
      <c r="L384" s="1"/>
      <c r="M384" s="1"/>
      <c r="N384" s="1"/>
    </row>
    <row r="385" spans="1:14" s="4" customFormat="1" ht="15.75">
      <c r="A385" s="53" t="s">
        <v>392</v>
      </c>
      <c r="B385" s="313" t="s">
        <v>121</v>
      </c>
      <c r="C385" s="313" t="s">
        <v>119</v>
      </c>
      <c r="D385" s="314" t="s">
        <v>394</v>
      </c>
      <c r="E385" s="29"/>
      <c r="F385" s="58"/>
      <c r="G385" s="30">
        <f>G386</f>
        <v>16038</v>
      </c>
      <c r="H385" s="30">
        <f>H386</f>
        <v>1026</v>
      </c>
      <c r="I385" s="1"/>
      <c r="J385" s="1"/>
      <c r="K385" s="1"/>
      <c r="L385" s="1"/>
      <c r="M385" s="1"/>
      <c r="N385" s="1"/>
    </row>
    <row r="386" spans="1:14" s="4" customFormat="1" ht="30">
      <c r="A386" s="71" t="s">
        <v>393</v>
      </c>
      <c r="B386" s="313" t="s">
        <v>121</v>
      </c>
      <c r="C386" s="313" t="s">
        <v>119</v>
      </c>
      <c r="D386" s="314" t="s">
        <v>395</v>
      </c>
      <c r="E386" s="29"/>
      <c r="F386" s="58"/>
      <c r="G386" s="30">
        <f>G387+G389</f>
        <v>16038</v>
      </c>
      <c r="H386" s="30">
        <f>H387+H389</f>
        <v>1026</v>
      </c>
      <c r="I386" s="1"/>
      <c r="J386" s="1"/>
      <c r="K386" s="1"/>
      <c r="L386" s="1"/>
      <c r="M386" s="1"/>
      <c r="N386" s="1"/>
    </row>
    <row r="387" spans="1:14" s="4" customFormat="1" ht="29.25">
      <c r="A387" s="110" t="s">
        <v>466</v>
      </c>
      <c r="B387" s="313" t="s">
        <v>121</v>
      </c>
      <c r="C387" s="313" t="s">
        <v>119</v>
      </c>
      <c r="D387" s="314" t="s">
        <v>396</v>
      </c>
      <c r="E387" s="29"/>
      <c r="F387" s="58"/>
      <c r="G387" s="30">
        <f>G388</f>
        <v>15012</v>
      </c>
      <c r="H387" s="30"/>
      <c r="I387" s="1"/>
      <c r="J387" s="1"/>
      <c r="K387" s="1"/>
      <c r="L387" s="1"/>
      <c r="M387" s="1"/>
      <c r="N387" s="1"/>
    </row>
    <row r="388" spans="1:14" s="4" customFormat="1" ht="15.75">
      <c r="A388" s="108" t="s">
        <v>433</v>
      </c>
      <c r="B388" s="313" t="s">
        <v>121</v>
      </c>
      <c r="C388" s="340" t="s">
        <v>119</v>
      </c>
      <c r="D388" s="314" t="s">
        <v>396</v>
      </c>
      <c r="E388" s="38" t="s">
        <v>432</v>
      </c>
      <c r="F388" s="58" t="s">
        <v>38</v>
      </c>
      <c r="G388" s="30">
        <f>'Прилож №5'!H521</f>
        <v>15012</v>
      </c>
      <c r="H388" s="30"/>
      <c r="I388" s="1"/>
      <c r="J388" s="1"/>
      <c r="K388" s="1"/>
      <c r="L388" s="1"/>
      <c r="M388" s="1"/>
      <c r="N388" s="1"/>
    </row>
    <row r="389" spans="1:14" s="4" customFormat="1" ht="15.75">
      <c r="A389" s="108" t="s">
        <v>467</v>
      </c>
      <c r="B389" s="313" t="s">
        <v>121</v>
      </c>
      <c r="C389" s="313" t="s">
        <v>119</v>
      </c>
      <c r="D389" s="28" t="s">
        <v>465</v>
      </c>
      <c r="E389" s="29"/>
      <c r="F389" s="69"/>
      <c r="G389" s="30">
        <f>G390</f>
        <v>1026</v>
      </c>
      <c r="H389" s="30">
        <f>H390</f>
        <v>1026</v>
      </c>
      <c r="I389" s="1"/>
      <c r="J389" s="1"/>
      <c r="K389" s="1"/>
      <c r="L389" s="1"/>
      <c r="M389" s="1"/>
      <c r="N389" s="1"/>
    </row>
    <row r="390" spans="1:14" s="4" customFormat="1" ht="15.75">
      <c r="A390" s="108" t="s">
        <v>433</v>
      </c>
      <c r="B390" s="313" t="s">
        <v>121</v>
      </c>
      <c r="C390" s="313" t="s">
        <v>119</v>
      </c>
      <c r="D390" s="28" t="s">
        <v>465</v>
      </c>
      <c r="E390" s="29" t="s">
        <v>432</v>
      </c>
      <c r="F390" s="69" t="s">
        <v>432</v>
      </c>
      <c r="G390" s="30">
        <f>'Прилож №5'!H523</f>
        <v>1026</v>
      </c>
      <c r="H390" s="30">
        <f>'Прилож №5'!I523</f>
        <v>1026</v>
      </c>
      <c r="I390" s="1"/>
      <c r="J390" s="1"/>
      <c r="K390" s="1"/>
      <c r="L390" s="1"/>
      <c r="M390" s="1"/>
      <c r="N390" s="1"/>
    </row>
    <row r="391" spans="1:14" s="4" customFormat="1" ht="15.75">
      <c r="A391" s="110" t="s">
        <v>147</v>
      </c>
      <c r="B391" s="29" t="s">
        <v>121</v>
      </c>
      <c r="C391" s="91" t="s">
        <v>119</v>
      </c>
      <c r="D391" s="84" t="s">
        <v>58</v>
      </c>
      <c r="E391" s="29"/>
      <c r="F391" s="28"/>
      <c r="G391" s="30">
        <f>G397+G399+G392</f>
        <v>54306.6</v>
      </c>
      <c r="H391" s="30">
        <f>H397+H399+H392</f>
        <v>47766.5</v>
      </c>
      <c r="I391" s="1"/>
      <c r="J391" s="1"/>
      <c r="K391" s="1"/>
      <c r="L391" s="1"/>
      <c r="M391" s="1"/>
      <c r="N391" s="1"/>
    </row>
    <row r="392" spans="1:14" s="4" customFormat="1" ht="131.25" customHeight="1">
      <c r="A392" s="315" t="s">
        <v>397</v>
      </c>
      <c r="B392" s="340" t="s">
        <v>121</v>
      </c>
      <c r="C392" s="313" t="s">
        <v>119</v>
      </c>
      <c r="D392" s="314" t="s">
        <v>398</v>
      </c>
      <c r="E392" s="63"/>
      <c r="F392" s="58"/>
      <c r="G392" s="30">
        <f>G395+G393</f>
        <v>9740.6</v>
      </c>
      <c r="H392" s="30">
        <f>H395+H393</f>
        <v>4063.5</v>
      </c>
      <c r="I392" s="1"/>
      <c r="J392" s="1"/>
      <c r="K392" s="1"/>
      <c r="L392" s="1"/>
      <c r="M392" s="1"/>
      <c r="N392" s="1"/>
    </row>
    <row r="393" spans="1:14" s="4" customFormat="1" ht="79.5" customHeight="1">
      <c r="A393" s="315" t="s">
        <v>457</v>
      </c>
      <c r="B393" s="29" t="s">
        <v>121</v>
      </c>
      <c r="C393" s="29" t="s">
        <v>119</v>
      </c>
      <c r="D393" s="28" t="s">
        <v>458</v>
      </c>
      <c r="E393" s="29" t="s">
        <v>36</v>
      </c>
      <c r="F393" s="69"/>
      <c r="G393" s="30">
        <f>G394</f>
        <v>1674</v>
      </c>
      <c r="H393" s="30">
        <f>H394</f>
        <v>1674</v>
      </c>
      <c r="I393" s="1"/>
      <c r="J393" s="1"/>
      <c r="K393" s="1"/>
      <c r="L393" s="1"/>
      <c r="M393" s="1"/>
      <c r="N393" s="1"/>
    </row>
    <row r="394" spans="1:14" s="4" customFormat="1" ht="23.25" customHeight="1">
      <c r="A394" s="108" t="s">
        <v>433</v>
      </c>
      <c r="B394" s="29" t="s">
        <v>121</v>
      </c>
      <c r="C394" s="29" t="s">
        <v>119</v>
      </c>
      <c r="D394" s="28" t="s">
        <v>458</v>
      </c>
      <c r="E394" s="29" t="s">
        <v>432</v>
      </c>
      <c r="F394" s="69" t="s">
        <v>432</v>
      </c>
      <c r="G394" s="30">
        <f>'Прилож №5'!H527</f>
        <v>1674</v>
      </c>
      <c r="H394" s="30">
        <f>'Прилож №5'!I527</f>
        <v>1674</v>
      </c>
      <c r="I394" s="1"/>
      <c r="J394" s="1"/>
      <c r="K394" s="1"/>
      <c r="L394" s="1"/>
      <c r="M394" s="1"/>
      <c r="N394" s="1"/>
    </row>
    <row r="395" spans="1:14" s="4" customFormat="1" ht="57.75">
      <c r="A395" s="110" t="s">
        <v>399</v>
      </c>
      <c r="B395" s="341" t="s">
        <v>121</v>
      </c>
      <c r="C395" s="313" t="s">
        <v>119</v>
      </c>
      <c r="D395" s="314" t="s">
        <v>400</v>
      </c>
      <c r="E395" s="49" t="s">
        <v>36</v>
      </c>
      <c r="F395" s="58"/>
      <c r="G395" s="30">
        <f>G396</f>
        <v>8066.6</v>
      </c>
      <c r="H395" s="30">
        <f>H396</f>
        <v>2389.5</v>
      </c>
      <c r="I395" s="1"/>
      <c r="J395" s="1"/>
      <c r="K395" s="1"/>
      <c r="L395" s="1"/>
      <c r="M395" s="1"/>
      <c r="N395" s="1"/>
    </row>
    <row r="396" spans="1:14" s="4" customFormat="1" ht="15.75">
      <c r="A396" s="108" t="s">
        <v>433</v>
      </c>
      <c r="B396" s="313" t="s">
        <v>121</v>
      </c>
      <c r="C396" s="313" t="s">
        <v>119</v>
      </c>
      <c r="D396" s="314" t="s">
        <v>400</v>
      </c>
      <c r="E396" s="29" t="s">
        <v>432</v>
      </c>
      <c r="F396" s="58" t="s">
        <v>38</v>
      </c>
      <c r="G396" s="30">
        <f>'Прилож №5'!H529</f>
        <v>8066.6</v>
      </c>
      <c r="H396" s="30">
        <f>'Прилож №5'!I529</f>
        <v>2389.5</v>
      </c>
      <c r="I396" s="1"/>
      <c r="J396" s="1"/>
      <c r="K396" s="1"/>
      <c r="L396" s="1"/>
      <c r="M396" s="1"/>
      <c r="N396" s="1"/>
    </row>
    <row r="397" spans="1:14" s="4" customFormat="1" ht="15.75">
      <c r="A397" s="108" t="s">
        <v>148</v>
      </c>
      <c r="B397" s="49" t="s">
        <v>121</v>
      </c>
      <c r="C397" s="84" t="s">
        <v>119</v>
      </c>
      <c r="D397" s="84" t="s">
        <v>185</v>
      </c>
      <c r="E397" s="29"/>
      <c r="F397" s="74">
        <v>483</v>
      </c>
      <c r="G397" s="30">
        <f>G398</f>
        <v>863</v>
      </c>
      <c r="H397" s="30">
        <f>H398</f>
        <v>0</v>
      </c>
      <c r="I397" s="1"/>
      <c r="J397" s="1"/>
      <c r="K397" s="1"/>
      <c r="L397" s="1"/>
      <c r="M397" s="1"/>
      <c r="N397" s="1"/>
    </row>
    <row r="398" spans="1:14" s="4" customFormat="1" ht="15.75">
      <c r="A398" s="108" t="s">
        <v>100</v>
      </c>
      <c r="B398" s="29" t="s">
        <v>121</v>
      </c>
      <c r="C398" s="84" t="s">
        <v>119</v>
      </c>
      <c r="D398" s="84" t="s">
        <v>185</v>
      </c>
      <c r="E398" s="29" t="s">
        <v>38</v>
      </c>
      <c r="F398" s="74"/>
      <c r="G398" s="30">
        <f>'Прилож №5'!H232</f>
        <v>863</v>
      </c>
      <c r="H398" s="30">
        <f>'Прилож №5'!I232</f>
        <v>0</v>
      </c>
      <c r="I398" s="1"/>
      <c r="J398" s="1"/>
      <c r="K398" s="1"/>
      <c r="L398" s="1"/>
      <c r="M398" s="1"/>
      <c r="N398" s="1"/>
    </row>
    <row r="399" spans="1:14" s="4" customFormat="1" ht="29.25">
      <c r="A399" s="110" t="s">
        <v>93</v>
      </c>
      <c r="B399" s="29" t="s">
        <v>121</v>
      </c>
      <c r="C399" s="84" t="s">
        <v>119</v>
      </c>
      <c r="D399" s="29" t="s">
        <v>149</v>
      </c>
      <c r="E399" s="153"/>
      <c r="F399" s="74"/>
      <c r="G399" s="30">
        <f>G400</f>
        <v>43703</v>
      </c>
      <c r="H399" s="30">
        <f>H400</f>
        <v>43703</v>
      </c>
      <c r="I399" s="1"/>
      <c r="J399" s="1"/>
      <c r="K399" s="1"/>
      <c r="L399" s="1"/>
      <c r="M399" s="1"/>
      <c r="N399" s="1"/>
    </row>
    <row r="400" spans="1:14" s="4" customFormat="1" ht="33" customHeight="1">
      <c r="A400" s="110" t="s">
        <v>438</v>
      </c>
      <c r="B400" s="38" t="s">
        <v>121</v>
      </c>
      <c r="C400" s="84" t="s">
        <v>119</v>
      </c>
      <c r="D400" s="29" t="s">
        <v>149</v>
      </c>
      <c r="E400" s="156" t="s">
        <v>437</v>
      </c>
      <c r="F400" s="74">
        <v>572</v>
      </c>
      <c r="G400" s="30">
        <f>'Прилож №5'!H234</f>
        <v>43703</v>
      </c>
      <c r="H400" s="30">
        <f>'Прилож №5'!I234</f>
        <v>43703</v>
      </c>
      <c r="I400" s="1"/>
      <c r="J400" s="1"/>
      <c r="K400" s="1"/>
      <c r="L400" s="1"/>
      <c r="M400" s="1"/>
      <c r="N400" s="1"/>
    </row>
    <row r="401" spans="1:14" s="4" customFormat="1" ht="31.5" customHeight="1">
      <c r="A401" s="110" t="s">
        <v>283</v>
      </c>
      <c r="B401" s="29" t="s">
        <v>121</v>
      </c>
      <c r="C401" s="29" t="s">
        <v>119</v>
      </c>
      <c r="D401" s="28" t="s">
        <v>282</v>
      </c>
      <c r="E401" s="29"/>
      <c r="F401" s="69"/>
      <c r="G401" s="30">
        <f>G402</f>
        <v>1585.9</v>
      </c>
      <c r="H401" s="30">
        <f>H402</f>
        <v>1585.9</v>
      </c>
      <c r="I401" s="1"/>
      <c r="J401" s="1"/>
      <c r="K401" s="1"/>
      <c r="L401" s="1"/>
      <c r="M401" s="1"/>
      <c r="N401" s="1"/>
    </row>
    <row r="402" spans="1:14" s="4" customFormat="1" ht="16.5" customHeight="1">
      <c r="A402" s="108" t="s">
        <v>464</v>
      </c>
      <c r="B402" s="29" t="s">
        <v>121</v>
      </c>
      <c r="C402" s="29" t="s">
        <v>119</v>
      </c>
      <c r="D402" s="28" t="s">
        <v>463</v>
      </c>
      <c r="E402" s="29"/>
      <c r="F402" s="69"/>
      <c r="G402" s="30">
        <f>G403</f>
        <v>1585.9</v>
      </c>
      <c r="H402" s="30">
        <f>H403</f>
        <v>1585.9</v>
      </c>
      <c r="I402" s="1"/>
      <c r="J402" s="1"/>
      <c r="K402" s="1"/>
      <c r="L402" s="1"/>
      <c r="M402" s="1"/>
      <c r="N402" s="1"/>
    </row>
    <row r="403" spans="1:14" s="4" customFormat="1" ht="18.75" customHeight="1">
      <c r="A403" s="108" t="s">
        <v>433</v>
      </c>
      <c r="B403" s="29" t="s">
        <v>121</v>
      </c>
      <c r="C403" s="29" t="s">
        <v>119</v>
      </c>
      <c r="D403" s="28" t="s">
        <v>463</v>
      </c>
      <c r="E403" s="29" t="s">
        <v>432</v>
      </c>
      <c r="F403" s="69" t="s">
        <v>432</v>
      </c>
      <c r="G403" s="30">
        <f>'Прилож №5'!H532</f>
        <v>1585.9</v>
      </c>
      <c r="H403" s="30">
        <f>'Прилож №5'!I532</f>
        <v>1585.9</v>
      </c>
      <c r="I403" s="1"/>
      <c r="J403" s="1"/>
      <c r="K403" s="1"/>
      <c r="L403" s="1"/>
      <c r="M403" s="1"/>
      <c r="N403" s="1"/>
    </row>
    <row r="404" spans="1:14" s="4" customFormat="1" ht="13.5" customHeight="1">
      <c r="A404" s="108" t="s">
        <v>83</v>
      </c>
      <c r="B404" s="29" t="s">
        <v>121</v>
      </c>
      <c r="C404" s="91" t="s">
        <v>119</v>
      </c>
      <c r="D404" s="91" t="s">
        <v>84</v>
      </c>
      <c r="E404" s="29"/>
      <c r="F404" s="62"/>
      <c r="G404" s="30">
        <f>G405</f>
        <v>2565.3</v>
      </c>
      <c r="H404" s="30">
        <f>H405</f>
        <v>0</v>
      </c>
      <c r="I404" s="1"/>
      <c r="J404" s="1"/>
      <c r="K404" s="1"/>
      <c r="L404" s="1"/>
      <c r="M404" s="1"/>
      <c r="N404" s="1"/>
    </row>
    <row r="405" spans="1:14" s="4" customFormat="1" ht="33" customHeight="1">
      <c r="A405" s="115" t="s">
        <v>262</v>
      </c>
      <c r="B405" s="49" t="s">
        <v>121</v>
      </c>
      <c r="C405" s="91" t="s">
        <v>119</v>
      </c>
      <c r="D405" s="49" t="s">
        <v>269</v>
      </c>
      <c r="E405" s="153"/>
      <c r="F405" s="62"/>
      <c r="G405" s="30">
        <f>G406</f>
        <v>2565.3</v>
      </c>
      <c r="H405" s="30">
        <f>H406</f>
        <v>0</v>
      </c>
      <c r="I405" s="1"/>
      <c r="J405" s="1"/>
      <c r="K405" s="1"/>
      <c r="L405" s="1"/>
      <c r="M405" s="1"/>
      <c r="N405" s="1"/>
    </row>
    <row r="406" spans="1:14" s="4" customFormat="1" ht="13.5" customHeight="1">
      <c r="A406" s="109" t="s">
        <v>94</v>
      </c>
      <c r="B406" s="29" t="s">
        <v>121</v>
      </c>
      <c r="C406" s="91" t="s">
        <v>119</v>
      </c>
      <c r="D406" s="49" t="s">
        <v>269</v>
      </c>
      <c r="E406" s="131" t="s">
        <v>158</v>
      </c>
      <c r="F406" s="62"/>
      <c r="G406" s="30">
        <f>'Прилож №5'!H535</f>
        <v>2565.3</v>
      </c>
      <c r="H406" s="30">
        <f>'Прилож №5'!I535</f>
        <v>0</v>
      </c>
      <c r="I406" s="1"/>
      <c r="J406" s="1"/>
      <c r="K406" s="1"/>
      <c r="L406" s="1"/>
      <c r="M406" s="1"/>
      <c r="N406" s="1"/>
    </row>
    <row r="407" spans="1:14" s="4" customFormat="1" ht="15" customHeight="1">
      <c r="A407" s="53" t="s">
        <v>169</v>
      </c>
      <c r="B407" s="33" t="s">
        <v>121</v>
      </c>
      <c r="C407" s="82" t="s">
        <v>116</v>
      </c>
      <c r="D407" s="59"/>
      <c r="E407" s="154"/>
      <c r="F407" s="60"/>
      <c r="G407" s="34">
        <f>G411+G408</f>
        <v>15545.5</v>
      </c>
      <c r="H407" s="34">
        <f>H411+H408</f>
        <v>15545.5</v>
      </c>
      <c r="I407" s="1"/>
      <c r="J407" s="1"/>
      <c r="K407" s="1"/>
      <c r="L407" s="1"/>
      <c r="M407" s="1"/>
      <c r="N407" s="1"/>
    </row>
    <row r="408" spans="1:14" s="4" customFormat="1" ht="46.5" customHeight="1">
      <c r="A408" s="110" t="s">
        <v>462</v>
      </c>
      <c r="B408" s="33" t="s">
        <v>121</v>
      </c>
      <c r="C408" s="82" t="s">
        <v>116</v>
      </c>
      <c r="D408" s="29" t="s">
        <v>460</v>
      </c>
      <c r="E408" s="28"/>
      <c r="F408" s="56"/>
      <c r="G408" s="34">
        <f>G409</f>
        <v>3375</v>
      </c>
      <c r="H408" s="34">
        <f>H409</f>
        <v>3375</v>
      </c>
      <c r="I408" s="1"/>
      <c r="J408" s="1"/>
      <c r="K408" s="1"/>
      <c r="L408" s="1"/>
      <c r="M408" s="1"/>
      <c r="N408" s="1"/>
    </row>
    <row r="409" spans="1:14" s="4" customFormat="1" ht="63" customHeight="1">
      <c r="A409" s="110" t="s">
        <v>459</v>
      </c>
      <c r="B409" s="33" t="s">
        <v>121</v>
      </c>
      <c r="C409" s="82" t="s">
        <v>116</v>
      </c>
      <c r="D409" s="29" t="s">
        <v>461</v>
      </c>
      <c r="E409" s="28"/>
      <c r="F409" s="56"/>
      <c r="G409" s="34">
        <f>G410</f>
        <v>3375</v>
      </c>
      <c r="H409" s="34">
        <f>H410</f>
        <v>3375</v>
      </c>
      <c r="I409" s="1"/>
      <c r="J409" s="1"/>
      <c r="K409" s="1"/>
      <c r="L409" s="1"/>
      <c r="M409" s="1"/>
      <c r="N409" s="1"/>
    </row>
    <row r="410" spans="1:14" s="4" customFormat="1" ht="15" customHeight="1">
      <c r="A410" s="111" t="s">
        <v>131</v>
      </c>
      <c r="B410" s="33" t="s">
        <v>121</v>
      </c>
      <c r="C410" s="82" t="s">
        <v>116</v>
      </c>
      <c r="D410" s="49" t="s">
        <v>461</v>
      </c>
      <c r="E410" s="43" t="s">
        <v>429</v>
      </c>
      <c r="F410" s="158" t="s">
        <v>429</v>
      </c>
      <c r="G410" s="34">
        <f>'Прилож №5'!H539</f>
        <v>3375</v>
      </c>
      <c r="H410" s="34">
        <f>'Прилож №5'!I539</f>
        <v>3375</v>
      </c>
      <c r="I410" s="1"/>
      <c r="J410" s="1"/>
      <c r="K410" s="1"/>
      <c r="L410" s="1"/>
      <c r="M410" s="1"/>
      <c r="N410" s="1"/>
    </row>
    <row r="411" spans="1:14" s="4" customFormat="1" ht="15" customHeight="1">
      <c r="A411" s="112" t="s">
        <v>79</v>
      </c>
      <c r="B411" s="29" t="s">
        <v>121</v>
      </c>
      <c r="C411" s="91" t="s">
        <v>116</v>
      </c>
      <c r="D411" s="49" t="s">
        <v>63</v>
      </c>
      <c r="E411" s="131"/>
      <c r="F411" s="62"/>
      <c r="G411" s="30">
        <f>G412</f>
        <v>12170.5</v>
      </c>
      <c r="H411" s="30">
        <f>H412</f>
        <v>12170.5</v>
      </c>
      <c r="I411" s="1"/>
      <c r="J411" s="1"/>
      <c r="K411" s="1"/>
      <c r="L411" s="1"/>
      <c r="M411" s="1"/>
      <c r="N411" s="1"/>
    </row>
    <row r="412" spans="1:14" s="4" customFormat="1" ht="75" customHeight="1">
      <c r="A412" s="111" t="s">
        <v>431</v>
      </c>
      <c r="B412" s="29" t="s">
        <v>121</v>
      </c>
      <c r="C412" s="91" t="s">
        <v>116</v>
      </c>
      <c r="D412" s="49" t="s">
        <v>430</v>
      </c>
      <c r="E412" s="131"/>
      <c r="F412" s="62"/>
      <c r="G412" s="30">
        <f>G413</f>
        <v>12170.5</v>
      </c>
      <c r="H412" s="30">
        <f>H413</f>
        <v>12170.5</v>
      </c>
      <c r="I412" s="1"/>
      <c r="J412" s="1"/>
      <c r="K412" s="1"/>
      <c r="L412" s="1"/>
      <c r="M412" s="1"/>
      <c r="N412" s="289"/>
    </row>
    <row r="413" spans="1:14" s="4" customFormat="1" ht="33.75" customHeight="1">
      <c r="A413" s="110" t="s">
        <v>427</v>
      </c>
      <c r="B413" s="29" t="s">
        <v>121</v>
      </c>
      <c r="C413" s="91" t="s">
        <v>116</v>
      </c>
      <c r="D413" s="49" t="s">
        <v>430</v>
      </c>
      <c r="E413" s="153" t="s">
        <v>426</v>
      </c>
      <c r="F413" s="62"/>
      <c r="G413" s="30">
        <f>'Прилож №5'!H344</f>
        <v>12170.5</v>
      </c>
      <c r="H413" s="30">
        <f>'Прилож №5'!I344</f>
        <v>12170.5</v>
      </c>
      <c r="I413" s="1"/>
      <c r="J413" s="1"/>
      <c r="K413" s="1"/>
      <c r="L413" s="1"/>
      <c r="M413" s="1"/>
      <c r="N413" s="1"/>
    </row>
    <row r="414" spans="1:14" s="4" customFormat="1" ht="15.75">
      <c r="A414" s="109" t="s">
        <v>83</v>
      </c>
      <c r="B414" s="29" t="s">
        <v>121</v>
      </c>
      <c r="C414" s="84" t="s">
        <v>130</v>
      </c>
      <c r="D414" s="29" t="s">
        <v>84</v>
      </c>
      <c r="E414" s="131" t="s">
        <v>36</v>
      </c>
      <c r="F414" s="28"/>
      <c r="G414" s="30">
        <f>G415</f>
        <v>7866.4</v>
      </c>
      <c r="H414" s="30">
        <f>H415</f>
        <v>0</v>
      </c>
      <c r="I414" s="1"/>
      <c r="J414" s="1"/>
      <c r="K414" s="1"/>
      <c r="L414" s="1"/>
      <c r="M414" s="1"/>
      <c r="N414" s="1"/>
    </row>
    <row r="415" spans="1:14" s="4" customFormat="1" ht="54" customHeight="1">
      <c r="A415" s="159" t="s">
        <v>251</v>
      </c>
      <c r="B415" s="38" t="s">
        <v>121</v>
      </c>
      <c r="C415" s="89" t="s">
        <v>130</v>
      </c>
      <c r="D415" s="38" t="s">
        <v>151</v>
      </c>
      <c r="E415" s="131" t="s">
        <v>36</v>
      </c>
      <c r="F415" s="37"/>
      <c r="G415" s="39">
        <f>G417+G416</f>
        <v>7866.4</v>
      </c>
      <c r="H415" s="39">
        <f>H417+H416</f>
        <v>0</v>
      </c>
      <c r="I415" s="1"/>
      <c r="J415" s="1"/>
      <c r="K415" s="1"/>
      <c r="L415" s="1"/>
      <c r="M415" s="1"/>
      <c r="N415" s="1"/>
    </row>
    <row r="416" spans="1:14" s="4" customFormat="1" ht="15" customHeight="1">
      <c r="A416" s="109" t="s">
        <v>100</v>
      </c>
      <c r="B416" s="38" t="s">
        <v>121</v>
      </c>
      <c r="C416" s="89" t="s">
        <v>130</v>
      </c>
      <c r="D416" s="38" t="s">
        <v>151</v>
      </c>
      <c r="E416" s="131" t="s">
        <v>38</v>
      </c>
      <c r="F416" s="37"/>
      <c r="G416" s="39">
        <f>'Прилож №5'!H238</f>
        <v>200</v>
      </c>
      <c r="H416" s="39">
        <f>'Прилож №5'!I238</f>
        <v>0</v>
      </c>
      <c r="I416" s="1"/>
      <c r="J416" s="1"/>
      <c r="K416" s="1"/>
      <c r="L416" s="1"/>
      <c r="M416" s="1"/>
      <c r="N416" s="1"/>
    </row>
    <row r="417" spans="1:14" s="4" customFormat="1" ht="16.5" thickBot="1">
      <c r="A417" s="109" t="s">
        <v>94</v>
      </c>
      <c r="B417" s="41" t="s">
        <v>121</v>
      </c>
      <c r="C417" s="97" t="s">
        <v>130</v>
      </c>
      <c r="D417" s="38" t="s">
        <v>151</v>
      </c>
      <c r="E417" s="187" t="s">
        <v>158</v>
      </c>
      <c r="F417" s="40"/>
      <c r="G417" s="42">
        <f>'Прилож №5'!H239+'Прилож №5'!H347</f>
        <v>7666.4</v>
      </c>
      <c r="H417" s="42">
        <f>'Прилож №5'!I239+'Прилож №5'!I347</f>
        <v>0</v>
      </c>
      <c r="I417" s="1"/>
      <c r="J417" s="287"/>
      <c r="K417" s="1"/>
      <c r="L417" s="1"/>
      <c r="M417" s="1"/>
      <c r="N417" s="1"/>
    </row>
    <row r="418" spans="1:14" s="3" customFormat="1" ht="16.5" thickBot="1">
      <c r="A418" s="51" t="s">
        <v>142</v>
      </c>
      <c r="B418" s="22" t="s">
        <v>196</v>
      </c>
      <c r="C418" s="22"/>
      <c r="D418" s="22"/>
      <c r="E418" s="214"/>
      <c r="F418" s="20"/>
      <c r="G418" s="23">
        <f>G419</f>
        <v>297746.5</v>
      </c>
      <c r="H418" s="23">
        <f>H419</f>
        <v>130000</v>
      </c>
      <c r="I418" s="2"/>
      <c r="J418" s="2"/>
      <c r="K418" s="2"/>
      <c r="L418" s="2"/>
      <c r="M418" s="2"/>
      <c r="N418" s="2"/>
    </row>
    <row r="419" spans="1:14" s="3" customFormat="1" ht="15.75">
      <c r="A419" s="15" t="s">
        <v>197</v>
      </c>
      <c r="B419" s="59" t="s">
        <v>196</v>
      </c>
      <c r="C419" s="59" t="s">
        <v>114</v>
      </c>
      <c r="D419" s="59"/>
      <c r="E419" s="155"/>
      <c r="F419" s="36"/>
      <c r="G419" s="27">
        <f>G420+G430+G427</f>
        <v>297746.5</v>
      </c>
      <c r="H419" s="27">
        <f>H420+H430+H427</f>
        <v>130000</v>
      </c>
      <c r="I419" s="2"/>
      <c r="J419" s="2"/>
      <c r="K419" s="2"/>
      <c r="L419" s="2"/>
      <c r="M419" s="2"/>
      <c r="N419" s="2"/>
    </row>
    <row r="420" spans="1:14" s="4" customFormat="1" ht="15.75">
      <c r="A420" s="108" t="s">
        <v>50</v>
      </c>
      <c r="B420" s="49" t="s">
        <v>196</v>
      </c>
      <c r="C420" s="29" t="s">
        <v>114</v>
      </c>
      <c r="D420" s="38" t="s">
        <v>51</v>
      </c>
      <c r="E420" s="131"/>
      <c r="F420" s="28"/>
      <c r="G420" s="163">
        <f>G421+G424</f>
        <v>15655.999999999998</v>
      </c>
      <c r="H420" s="163">
        <f>H421+H424</f>
        <v>0</v>
      </c>
      <c r="I420" s="1"/>
      <c r="J420" s="1"/>
      <c r="K420" s="1"/>
      <c r="L420" s="1"/>
      <c r="M420" s="1"/>
      <c r="N420" s="1"/>
    </row>
    <row r="421" spans="1:14" s="4" customFormat="1" ht="33" customHeight="1">
      <c r="A421" s="161" t="s">
        <v>239</v>
      </c>
      <c r="B421" s="49" t="s">
        <v>196</v>
      </c>
      <c r="C421" s="29" t="s">
        <v>114</v>
      </c>
      <c r="D421" s="38" t="s">
        <v>245</v>
      </c>
      <c r="E421" s="131"/>
      <c r="F421" s="28"/>
      <c r="G421" s="30">
        <f>G423+G422</f>
        <v>796.8</v>
      </c>
      <c r="H421" s="30">
        <f>H423+H422</f>
        <v>0</v>
      </c>
      <c r="I421" s="1"/>
      <c r="J421" s="1"/>
      <c r="K421" s="1"/>
      <c r="L421" s="1"/>
      <c r="M421" s="1"/>
      <c r="N421" s="1"/>
    </row>
    <row r="422" spans="1:14" s="4" customFormat="1" ht="15.75">
      <c r="A422" s="114" t="s">
        <v>103</v>
      </c>
      <c r="B422" s="49" t="s">
        <v>196</v>
      </c>
      <c r="C422" s="29" t="s">
        <v>114</v>
      </c>
      <c r="D422" s="38" t="s">
        <v>245</v>
      </c>
      <c r="E422" s="131" t="s">
        <v>56</v>
      </c>
      <c r="F422" s="28"/>
      <c r="G422" s="30">
        <f>'Прилож №5'!H427</f>
        <v>0</v>
      </c>
      <c r="H422" s="30"/>
      <c r="I422" s="1"/>
      <c r="J422" s="1"/>
      <c r="K422" s="1"/>
      <c r="L422" s="1"/>
      <c r="M422" s="1"/>
      <c r="N422" s="1"/>
    </row>
    <row r="423" spans="1:14" s="4" customFormat="1" ht="15.75">
      <c r="A423" s="139" t="s">
        <v>155</v>
      </c>
      <c r="B423" s="49" t="s">
        <v>196</v>
      </c>
      <c r="C423" s="29" t="s">
        <v>114</v>
      </c>
      <c r="D423" s="38" t="s">
        <v>245</v>
      </c>
      <c r="E423" s="131" t="s">
        <v>156</v>
      </c>
      <c r="F423" s="28"/>
      <c r="G423" s="30">
        <f>'Прилож №5'!H428</f>
        <v>796.8</v>
      </c>
      <c r="H423" s="30">
        <f>'Прилож №5'!I428</f>
        <v>0</v>
      </c>
      <c r="I423" s="1"/>
      <c r="J423" s="1"/>
      <c r="K423" s="1"/>
      <c r="L423" s="1"/>
      <c r="M423" s="1"/>
      <c r="N423" s="1"/>
    </row>
    <row r="424" spans="1:14" s="4" customFormat="1" ht="15.75">
      <c r="A424" s="109" t="s">
        <v>18</v>
      </c>
      <c r="B424" s="49" t="s">
        <v>196</v>
      </c>
      <c r="C424" s="29" t="s">
        <v>114</v>
      </c>
      <c r="D424" s="38" t="s">
        <v>143</v>
      </c>
      <c r="E424" s="131"/>
      <c r="F424" s="28"/>
      <c r="G424" s="30">
        <f>G426+G425</f>
        <v>14859.199999999999</v>
      </c>
      <c r="H424" s="30">
        <f>H426+H425</f>
        <v>0</v>
      </c>
      <c r="I424" s="1"/>
      <c r="J424" s="1"/>
      <c r="K424" s="1"/>
      <c r="L424" s="1"/>
      <c r="M424" s="1"/>
      <c r="N424" s="1"/>
    </row>
    <row r="425" spans="1:14" s="4" customFormat="1" ht="15.75">
      <c r="A425" s="47" t="s">
        <v>103</v>
      </c>
      <c r="B425" s="49" t="s">
        <v>196</v>
      </c>
      <c r="C425" s="29" t="s">
        <v>114</v>
      </c>
      <c r="D425" s="38" t="s">
        <v>143</v>
      </c>
      <c r="E425" s="156" t="s">
        <v>56</v>
      </c>
      <c r="F425" s="28"/>
      <c r="G425" s="30">
        <f>'Прилож №5'!H430</f>
        <v>2.4</v>
      </c>
      <c r="H425" s="30"/>
      <c r="I425" s="1"/>
      <c r="J425" s="1"/>
      <c r="K425" s="1"/>
      <c r="L425" s="1"/>
      <c r="M425" s="1"/>
      <c r="N425" s="1"/>
    </row>
    <row r="426" spans="1:14" s="4" customFormat="1" ht="15.75">
      <c r="A426" s="139" t="s">
        <v>155</v>
      </c>
      <c r="B426" s="49" t="s">
        <v>196</v>
      </c>
      <c r="C426" s="29" t="s">
        <v>114</v>
      </c>
      <c r="D426" s="38" t="s">
        <v>143</v>
      </c>
      <c r="E426" s="156" t="s">
        <v>156</v>
      </c>
      <c r="F426" s="28"/>
      <c r="G426" s="30">
        <f>'Прилож №5'!H431</f>
        <v>14856.8</v>
      </c>
      <c r="H426" s="30">
        <f>'Прилож №5'!I431</f>
        <v>0</v>
      </c>
      <c r="I426" s="1"/>
      <c r="J426" s="1"/>
      <c r="K426" s="1"/>
      <c r="L426" s="1"/>
      <c r="M426" s="1"/>
      <c r="N426" s="1"/>
    </row>
    <row r="427" spans="1:14" s="4" customFormat="1" ht="15.75">
      <c r="A427" s="110" t="s">
        <v>230</v>
      </c>
      <c r="B427" s="49" t="s">
        <v>196</v>
      </c>
      <c r="C427" s="29" t="s">
        <v>114</v>
      </c>
      <c r="D427" s="38" t="s">
        <v>229</v>
      </c>
      <c r="E427" s="156"/>
      <c r="F427" s="28"/>
      <c r="G427" s="30">
        <f>G428</f>
        <v>130099.5</v>
      </c>
      <c r="H427" s="30">
        <f>H428</f>
        <v>130000</v>
      </c>
      <c r="I427" s="1"/>
      <c r="J427" s="1"/>
      <c r="K427" s="1"/>
      <c r="L427" s="1"/>
      <c r="M427" s="1"/>
      <c r="N427" s="1"/>
    </row>
    <row r="428" spans="1:14" s="4" customFormat="1" ht="29.25">
      <c r="A428" s="110" t="s">
        <v>298</v>
      </c>
      <c r="B428" s="49" t="s">
        <v>196</v>
      </c>
      <c r="C428" s="29" t="s">
        <v>114</v>
      </c>
      <c r="D428" s="38" t="s">
        <v>299</v>
      </c>
      <c r="E428" s="156"/>
      <c r="F428" s="28"/>
      <c r="G428" s="30">
        <f>G429</f>
        <v>130099.5</v>
      </c>
      <c r="H428" s="30">
        <f>H429</f>
        <v>130000</v>
      </c>
      <c r="I428" s="1"/>
      <c r="J428" s="1"/>
      <c r="K428" s="1"/>
      <c r="L428" s="1"/>
      <c r="M428" s="1"/>
      <c r="N428" s="1"/>
    </row>
    <row r="429" spans="1:14" s="4" customFormat="1" ht="15.75">
      <c r="A429" s="259" t="s">
        <v>300</v>
      </c>
      <c r="B429" s="49" t="s">
        <v>196</v>
      </c>
      <c r="C429" s="29" t="s">
        <v>114</v>
      </c>
      <c r="D429" s="38" t="s">
        <v>299</v>
      </c>
      <c r="E429" s="156" t="s">
        <v>429</v>
      </c>
      <c r="F429" s="28"/>
      <c r="G429" s="30">
        <f>'Прилож №5'!H245</f>
        <v>130099.5</v>
      </c>
      <c r="H429" s="30">
        <f>'Прилож №5'!I245</f>
        <v>130000</v>
      </c>
      <c r="I429" s="1"/>
      <c r="J429" s="1"/>
      <c r="K429" s="1"/>
      <c r="L429" s="1"/>
      <c r="M429" s="1"/>
      <c r="N429" s="1"/>
    </row>
    <row r="430" spans="1:14" s="4" customFormat="1" ht="15.75">
      <c r="A430" s="108" t="s">
        <v>83</v>
      </c>
      <c r="B430" s="49" t="s">
        <v>196</v>
      </c>
      <c r="C430" s="29" t="s">
        <v>114</v>
      </c>
      <c r="D430" s="38" t="s">
        <v>84</v>
      </c>
      <c r="E430" s="131"/>
      <c r="F430" s="28"/>
      <c r="G430" s="30">
        <f>G431</f>
        <v>151991</v>
      </c>
      <c r="H430" s="30">
        <f>H431</f>
        <v>0</v>
      </c>
      <c r="I430" s="1"/>
      <c r="J430" s="1"/>
      <c r="K430" s="1"/>
      <c r="L430" s="1"/>
      <c r="M430" s="1"/>
      <c r="N430" s="1"/>
    </row>
    <row r="431" spans="1:14" s="4" customFormat="1" ht="43.5">
      <c r="A431" s="116" t="s">
        <v>253</v>
      </c>
      <c r="B431" s="49" t="s">
        <v>196</v>
      </c>
      <c r="C431" s="29" t="s">
        <v>114</v>
      </c>
      <c r="D431" s="38" t="s">
        <v>270</v>
      </c>
      <c r="E431" s="131"/>
      <c r="F431" s="28"/>
      <c r="G431" s="30">
        <f>G432+G433+G434</f>
        <v>151991</v>
      </c>
      <c r="H431" s="30">
        <f>H432+H433+H434</f>
        <v>0</v>
      </c>
      <c r="I431" s="1"/>
      <c r="J431" s="1"/>
      <c r="K431" s="288"/>
      <c r="L431" s="1"/>
      <c r="M431" s="1"/>
      <c r="N431" s="1"/>
    </row>
    <row r="432" spans="1:14" s="4" customFormat="1" ht="15.75">
      <c r="A432" s="113" t="s">
        <v>131</v>
      </c>
      <c r="B432" s="38" t="s">
        <v>196</v>
      </c>
      <c r="C432" s="38" t="s">
        <v>114</v>
      </c>
      <c r="D432" s="38" t="s">
        <v>270</v>
      </c>
      <c r="E432" s="156" t="s">
        <v>44</v>
      </c>
      <c r="F432" s="28"/>
      <c r="G432" s="30">
        <f>'Прилож №5'!H249</f>
        <v>150000</v>
      </c>
      <c r="H432" s="30">
        <f>'Прилож №5'!I249</f>
        <v>0</v>
      </c>
      <c r="I432" s="1"/>
      <c r="J432" s="1"/>
      <c r="K432" s="288"/>
      <c r="L432" s="1"/>
      <c r="M432" s="1"/>
      <c r="N432" s="1"/>
    </row>
    <row r="433" spans="1:14" s="4" customFormat="1" ht="15.75">
      <c r="A433" s="108" t="s">
        <v>155</v>
      </c>
      <c r="B433" s="29" t="s">
        <v>196</v>
      </c>
      <c r="C433" s="29" t="s">
        <v>114</v>
      </c>
      <c r="D433" s="29" t="s">
        <v>270</v>
      </c>
      <c r="E433" s="131" t="s">
        <v>156</v>
      </c>
      <c r="F433" s="28"/>
      <c r="G433" s="30">
        <f>'Прилож №5'!H434</f>
        <v>690.8000000000002</v>
      </c>
      <c r="H433" s="30">
        <f>'Прилож №5'!I435</f>
        <v>0</v>
      </c>
      <c r="I433" s="1"/>
      <c r="J433" s="1"/>
      <c r="K433" s="288"/>
      <c r="L433" s="1"/>
      <c r="M433" s="1"/>
      <c r="N433" s="1"/>
    </row>
    <row r="434" spans="1:14" s="4" customFormat="1" ht="16.5" thickBot="1">
      <c r="A434" s="109" t="s">
        <v>94</v>
      </c>
      <c r="B434" s="49" t="s">
        <v>196</v>
      </c>
      <c r="C434" s="49" t="s">
        <v>114</v>
      </c>
      <c r="D434" s="63" t="s">
        <v>270</v>
      </c>
      <c r="E434" s="131" t="s">
        <v>158</v>
      </c>
      <c r="F434" s="28"/>
      <c r="G434" s="30">
        <f>'Прилож №5'!H247+'Прилож №5'!H435</f>
        <v>1300.1999999999998</v>
      </c>
      <c r="H434" s="30">
        <f>'Прилож №5'!I247</f>
        <v>0</v>
      </c>
      <c r="I434" s="1"/>
      <c r="J434" s="1"/>
      <c r="K434" s="288"/>
      <c r="L434" s="1"/>
      <c r="M434" s="1"/>
      <c r="N434" s="1"/>
    </row>
    <row r="435" spans="1:14" s="4" customFormat="1" ht="16.5" thickBot="1">
      <c r="A435" s="70" t="s">
        <v>47</v>
      </c>
      <c r="B435" s="20" t="s">
        <v>80</v>
      </c>
      <c r="C435" s="22" t="s">
        <v>80</v>
      </c>
      <c r="D435" s="22" t="s">
        <v>34</v>
      </c>
      <c r="E435" s="214" t="s">
        <v>36</v>
      </c>
      <c r="F435" s="20"/>
      <c r="G435" s="160">
        <f>G14+G66+G75+G87+G117+G169+G174+G276+G325+G379+G418</f>
        <v>3263930.8000000003</v>
      </c>
      <c r="H435" s="160">
        <f>H14+H66+H75+H87+H117+H169+H174+H276+H325+H379+H418</f>
        <v>1811828.5</v>
      </c>
      <c r="I435" s="1"/>
      <c r="J435" s="1"/>
      <c r="K435" s="1"/>
      <c r="L435" s="1"/>
      <c r="M435" s="1"/>
      <c r="N435" s="1"/>
    </row>
    <row r="439" ht="15.75">
      <c r="G439" s="176"/>
    </row>
    <row r="441" ht="15.75">
      <c r="G441" s="177"/>
    </row>
  </sheetData>
  <sheetProtection/>
  <mergeCells count="9">
    <mergeCell ref="A9:H9"/>
    <mergeCell ref="A10:H10"/>
    <mergeCell ref="H12:H13"/>
    <mergeCell ref="A12:A13"/>
    <mergeCell ref="B12:B13"/>
    <mergeCell ref="C12:C13"/>
    <mergeCell ref="D12:D13"/>
    <mergeCell ref="E12:E13"/>
    <mergeCell ref="G12:G13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8"/>
  <sheetViews>
    <sheetView tabSelected="1" zoomScale="75" zoomScaleNormal="75" zoomScalePageLayoutView="0" workbookViewId="0" topLeftCell="A2">
      <selection activeCell="I3" sqref="I3"/>
    </sheetView>
  </sheetViews>
  <sheetFormatPr defaultColWidth="8.796875" defaultRowHeight="15"/>
  <cols>
    <col min="1" max="1" width="57" style="16" customWidth="1"/>
    <col min="2" max="2" width="5.19921875" style="17" customWidth="1"/>
    <col min="3" max="3" width="8.19921875" style="17" customWidth="1"/>
    <col min="4" max="4" width="6.8984375" style="17" customWidth="1"/>
    <col min="5" max="5" width="10.59765625" style="17" customWidth="1"/>
    <col min="6" max="6" width="0.1015625" style="17" hidden="1" customWidth="1"/>
    <col min="7" max="7" width="4.8984375" style="18" customWidth="1"/>
    <col min="8" max="8" width="15.09765625" style="12" customWidth="1"/>
    <col min="9" max="9" width="15.5" style="12" customWidth="1"/>
  </cols>
  <sheetData>
    <row r="1" spans="8:9" ht="15.75">
      <c r="H1" s="268"/>
      <c r="I1" s="6" t="s">
        <v>314</v>
      </c>
    </row>
    <row r="2" spans="8:9" ht="15.75">
      <c r="H2" s="268"/>
      <c r="I2" s="6" t="s">
        <v>315</v>
      </c>
    </row>
    <row r="3" spans="8:9" ht="15.75">
      <c r="H3" s="268"/>
      <c r="I3" s="6" t="s">
        <v>476</v>
      </c>
    </row>
    <row r="4" spans="7:9" ht="15.75">
      <c r="G4" s="266"/>
      <c r="H4" s="269"/>
      <c r="I4" s="6" t="s">
        <v>316</v>
      </c>
    </row>
    <row r="5" spans="7:9" ht="15.75">
      <c r="G5" s="267"/>
      <c r="H5" s="269"/>
      <c r="I5" s="6" t="s">
        <v>317</v>
      </c>
    </row>
    <row r="6" spans="5:9" ht="15.75">
      <c r="E6" s="77"/>
      <c r="F6" s="77"/>
      <c r="G6" s="267"/>
      <c r="H6" s="269"/>
      <c r="I6" s="6" t="s">
        <v>318</v>
      </c>
    </row>
    <row r="7" spans="1:9" ht="22.5" customHeight="1">
      <c r="A7" s="376" t="s">
        <v>236</v>
      </c>
      <c r="B7" s="376"/>
      <c r="C7" s="376"/>
      <c r="D7" s="376"/>
      <c r="E7" s="376"/>
      <c r="F7" s="376"/>
      <c r="G7" s="376"/>
      <c r="H7" s="376"/>
      <c r="I7" s="376"/>
    </row>
    <row r="8" spans="1:9" ht="16.5" thickBot="1">
      <c r="A8" s="12"/>
      <c r="B8" s="77"/>
      <c r="C8" s="77"/>
      <c r="D8" s="77"/>
      <c r="E8" s="77"/>
      <c r="F8" s="77"/>
      <c r="I8" s="78" t="s">
        <v>154</v>
      </c>
    </row>
    <row r="9" spans="1:9" ht="15.75">
      <c r="A9" s="379" t="s">
        <v>0</v>
      </c>
      <c r="B9" s="372" t="s">
        <v>39</v>
      </c>
      <c r="C9" s="372" t="s">
        <v>40</v>
      </c>
      <c r="D9" s="374" t="s">
        <v>192</v>
      </c>
      <c r="E9" s="374" t="s">
        <v>193</v>
      </c>
      <c r="F9" s="79"/>
      <c r="G9" s="381" t="s">
        <v>417</v>
      </c>
      <c r="H9" s="377" t="s">
        <v>41</v>
      </c>
      <c r="I9" s="378" t="s">
        <v>194</v>
      </c>
    </row>
    <row r="10" spans="1:9" ht="63" customHeight="1" thickBot="1">
      <c r="A10" s="380"/>
      <c r="B10" s="373"/>
      <c r="C10" s="373"/>
      <c r="D10" s="375"/>
      <c r="E10" s="375"/>
      <c r="F10" s="128"/>
      <c r="G10" s="382"/>
      <c r="H10" s="373"/>
      <c r="I10" s="375"/>
    </row>
    <row r="11" spans="1:9" ht="27.75" customHeight="1" thickBot="1">
      <c r="A11" s="224" t="s">
        <v>223</v>
      </c>
      <c r="B11" s="80" t="s">
        <v>201</v>
      </c>
      <c r="C11" s="22"/>
      <c r="D11" s="20"/>
      <c r="E11" s="22"/>
      <c r="F11" s="20"/>
      <c r="G11" s="98"/>
      <c r="H11" s="262">
        <f>H12+H45+H54+H65+H92+H143+H224+H240+H171+H148+H167</f>
        <v>2031955.5</v>
      </c>
      <c r="I11" s="23">
        <f>I12+I45+I54+I65+I92+I143+I224+I240+I171+I148+I167</f>
        <v>1405138.1</v>
      </c>
    </row>
    <row r="12" spans="1:9" ht="15.75">
      <c r="A12" s="233" t="s">
        <v>13</v>
      </c>
      <c r="B12" s="95" t="s">
        <v>201</v>
      </c>
      <c r="C12" s="26" t="s">
        <v>114</v>
      </c>
      <c r="D12" s="95"/>
      <c r="E12" s="26"/>
      <c r="F12" s="25"/>
      <c r="G12" s="106"/>
      <c r="H12" s="339">
        <f>H13+H17+H33+H37+H29</f>
        <v>131806</v>
      </c>
      <c r="I12" s="27">
        <f>I13+I17+I33+I37+I29</f>
        <v>9231</v>
      </c>
    </row>
    <row r="13" spans="1:9" s="3" customFormat="1" ht="30">
      <c r="A13" s="226" t="s">
        <v>67</v>
      </c>
      <c r="B13" s="82" t="s">
        <v>201</v>
      </c>
      <c r="C13" s="59" t="s">
        <v>114</v>
      </c>
      <c r="D13" s="82" t="s">
        <v>115</v>
      </c>
      <c r="E13" s="59"/>
      <c r="F13" s="36"/>
      <c r="G13" s="181"/>
      <c r="H13" s="170">
        <f>H14</f>
        <v>2825.2999999999997</v>
      </c>
      <c r="I13" s="50">
        <f>I14</f>
        <v>0</v>
      </c>
    </row>
    <row r="14" spans="1:9" s="4" customFormat="1" ht="43.5">
      <c r="A14" s="111" t="s">
        <v>161</v>
      </c>
      <c r="B14" s="91" t="s">
        <v>201</v>
      </c>
      <c r="C14" s="49" t="s">
        <v>114</v>
      </c>
      <c r="D14" s="91" t="s">
        <v>115</v>
      </c>
      <c r="E14" s="49" t="s">
        <v>157</v>
      </c>
      <c r="F14" s="48"/>
      <c r="G14" s="132"/>
      <c r="H14" s="170">
        <f>H16</f>
        <v>2825.2999999999997</v>
      </c>
      <c r="I14" s="50">
        <f>I16</f>
        <v>0</v>
      </c>
    </row>
    <row r="15" spans="1:9" s="4" customFormat="1" ht="15.75">
      <c r="A15" s="111" t="s">
        <v>162</v>
      </c>
      <c r="B15" s="84" t="s">
        <v>201</v>
      </c>
      <c r="C15" s="29" t="s">
        <v>114</v>
      </c>
      <c r="D15" s="84" t="s">
        <v>115</v>
      </c>
      <c r="E15" s="29" t="s">
        <v>163</v>
      </c>
      <c r="F15" s="28"/>
      <c r="G15" s="58"/>
      <c r="H15" s="171">
        <f>H16</f>
        <v>2825.2999999999997</v>
      </c>
      <c r="I15" s="30">
        <f>I16</f>
        <v>0</v>
      </c>
    </row>
    <row r="16" spans="1:9" s="4" customFormat="1" ht="15.75">
      <c r="A16" s="112" t="s">
        <v>94</v>
      </c>
      <c r="B16" s="84" t="s">
        <v>201</v>
      </c>
      <c r="C16" s="29" t="s">
        <v>114</v>
      </c>
      <c r="D16" s="84" t="s">
        <v>115</v>
      </c>
      <c r="E16" s="38" t="s">
        <v>163</v>
      </c>
      <c r="F16" s="37"/>
      <c r="G16" s="100" t="s">
        <v>158</v>
      </c>
      <c r="H16" s="172">
        <f>2178.9+220.7-155.3+581</f>
        <v>2825.2999999999997</v>
      </c>
      <c r="I16" s="30"/>
    </row>
    <row r="17" spans="1:9" s="3" customFormat="1" ht="45">
      <c r="A17" s="71" t="s">
        <v>68</v>
      </c>
      <c r="B17" s="85" t="s">
        <v>201</v>
      </c>
      <c r="C17" s="33" t="s">
        <v>114</v>
      </c>
      <c r="D17" s="85" t="s">
        <v>116</v>
      </c>
      <c r="E17" s="33"/>
      <c r="F17" s="32"/>
      <c r="G17" s="99"/>
      <c r="H17" s="169">
        <f>H18</f>
        <v>103385.3</v>
      </c>
      <c r="I17" s="61">
        <f>I18</f>
        <v>9090</v>
      </c>
    </row>
    <row r="18" spans="1:9" ht="43.5">
      <c r="A18" s="110" t="s">
        <v>161</v>
      </c>
      <c r="B18" s="91" t="s">
        <v>201</v>
      </c>
      <c r="C18" s="49" t="s">
        <v>114</v>
      </c>
      <c r="D18" s="91" t="s">
        <v>116</v>
      </c>
      <c r="E18" s="49" t="s">
        <v>157</v>
      </c>
      <c r="F18" s="48"/>
      <c r="G18" s="105"/>
      <c r="H18" s="170">
        <f>H19+H27</f>
        <v>103385.3</v>
      </c>
      <c r="I18" s="50">
        <f>I19+I27</f>
        <v>9090</v>
      </c>
    </row>
    <row r="19" spans="1:9" ht="15.75">
      <c r="A19" s="111" t="s">
        <v>37</v>
      </c>
      <c r="B19" s="84" t="s">
        <v>201</v>
      </c>
      <c r="C19" s="29" t="s">
        <v>114</v>
      </c>
      <c r="D19" s="84" t="s">
        <v>116</v>
      </c>
      <c r="E19" s="49" t="s">
        <v>159</v>
      </c>
      <c r="F19" s="48"/>
      <c r="G19" s="58"/>
      <c r="H19" s="171">
        <f>H20+H21+H23+H25</f>
        <v>103202.3</v>
      </c>
      <c r="I19" s="30">
        <f>I22+I24+I26</f>
        <v>9090</v>
      </c>
    </row>
    <row r="20" spans="1:9" ht="15.75">
      <c r="A20" s="112" t="s">
        <v>94</v>
      </c>
      <c r="B20" s="84" t="s">
        <v>201</v>
      </c>
      <c r="C20" s="29" t="s">
        <v>114</v>
      </c>
      <c r="D20" s="84" t="s">
        <v>116</v>
      </c>
      <c r="E20" s="29" t="s">
        <v>159</v>
      </c>
      <c r="F20" s="28"/>
      <c r="G20" s="58" t="s">
        <v>158</v>
      </c>
      <c r="H20" s="172">
        <f>2651+4539+1900+1655+74987.7+135+1500-20047.7+155.3+35845-4539-2651-1900+17-135</f>
        <v>94112.3</v>
      </c>
      <c r="I20" s="143"/>
    </row>
    <row r="21" spans="1:9" ht="86.25" customHeight="1">
      <c r="A21" s="111" t="s">
        <v>375</v>
      </c>
      <c r="B21" s="84" t="s">
        <v>201</v>
      </c>
      <c r="C21" s="29" t="s">
        <v>114</v>
      </c>
      <c r="D21" s="84" t="s">
        <v>116</v>
      </c>
      <c r="E21" s="29" t="s">
        <v>340</v>
      </c>
      <c r="F21" s="28"/>
      <c r="G21" s="58"/>
      <c r="H21" s="172">
        <f>H22</f>
        <v>4539</v>
      </c>
      <c r="I21" s="143">
        <f>I22</f>
        <v>4539</v>
      </c>
    </row>
    <row r="22" spans="1:9" ht="15.75">
      <c r="A22" s="112" t="s">
        <v>312</v>
      </c>
      <c r="B22" s="84" t="s">
        <v>201</v>
      </c>
      <c r="C22" s="29" t="s">
        <v>114</v>
      </c>
      <c r="D22" s="84" t="s">
        <v>116</v>
      </c>
      <c r="E22" s="29" t="s">
        <v>340</v>
      </c>
      <c r="F22" s="28"/>
      <c r="G22" s="58" t="s">
        <v>313</v>
      </c>
      <c r="H22" s="172">
        <v>4539</v>
      </c>
      <c r="I22" s="66">
        <v>4539</v>
      </c>
    </row>
    <row r="23" spans="1:9" ht="43.5">
      <c r="A23" s="111" t="s">
        <v>339</v>
      </c>
      <c r="B23" s="84" t="s">
        <v>201</v>
      </c>
      <c r="C23" s="29" t="s">
        <v>114</v>
      </c>
      <c r="D23" s="84" t="s">
        <v>116</v>
      </c>
      <c r="E23" s="29" t="s">
        <v>338</v>
      </c>
      <c r="F23" s="28"/>
      <c r="G23" s="58"/>
      <c r="H23" s="172">
        <f>H24</f>
        <v>2651</v>
      </c>
      <c r="I23" s="237">
        <f>I24</f>
        <v>2651</v>
      </c>
    </row>
    <row r="24" spans="1:9" ht="15.75">
      <c r="A24" s="112" t="s">
        <v>312</v>
      </c>
      <c r="B24" s="84" t="s">
        <v>201</v>
      </c>
      <c r="C24" s="29" t="s">
        <v>114</v>
      </c>
      <c r="D24" s="84" t="s">
        <v>116</v>
      </c>
      <c r="E24" s="29" t="s">
        <v>338</v>
      </c>
      <c r="F24" s="28"/>
      <c r="G24" s="58" t="s">
        <v>313</v>
      </c>
      <c r="H24" s="172">
        <v>2651</v>
      </c>
      <c r="I24" s="143">
        <v>2651</v>
      </c>
    </row>
    <row r="25" spans="1:9" ht="72">
      <c r="A25" s="111" t="s">
        <v>376</v>
      </c>
      <c r="B25" s="84" t="s">
        <v>201</v>
      </c>
      <c r="C25" s="29" t="s">
        <v>114</v>
      </c>
      <c r="D25" s="84" t="s">
        <v>116</v>
      </c>
      <c r="E25" s="29" t="s">
        <v>337</v>
      </c>
      <c r="F25" s="28"/>
      <c r="G25" s="58"/>
      <c r="H25" s="172">
        <f>H26</f>
        <v>1900</v>
      </c>
      <c r="I25" s="66">
        <f>I26</f>
        <v>1900</v>
      </c>
    </row>
    <row r="26" spans="1:9" ht="15.75">
      <c r="A26" s="112" t="s">
        <v>312</v>
      </c>
      <c r="B26" s="84" t="s">
        <v>201</v>
      </c>
      <c r="C26" s="29" t="s">
        <v>114</v>
      </c>
      <c r="D26" s="84" t="s">
        <v>116</v>
      </c>
      <c r="E26" s="29" t="s">
        <v>337</v>
      </c>
      <c r="F26" s="28"/>
      <c r="G26" s="58" t="s">
        <v>313</v>
      </c>
      <c r="H26" s="172">
        <v>1900</v>
      </c>
      <c r="I26" s="66">
        <v>1900</v>
      </c>
    </row>
    <row r="27" spans="1:9" ht="15.75">
      <c r="A27" s="184" t="s">
        <v>239</v>
      </c>
      <c r="B27" s="84" t="s">
        <v>201</v>
      </c>
      <c r="C27" s="29" t="s">
        <v>114</v>
      </c>
      <c r="D27" s="84" t="s">
        <v>116</v>
      </c>
      <c r="E27" s="29" t="s">
        <v>240</v>
      </c>
      <c r="F27" s="28"/>
      <c r="G27" s="58"/>
      <c r="H27" s="172">
        <f>H28</f>
        <v>183</v>
      </c>
      <c r="I27" s="237"/>
    </row>
    <row r="28" spans="1:9" ht="15.75">
      <c r="A28" s="112" t="s">
        <v>94</v>
      </c>
      <c r="B28" s="84" t="s">
        <v>201</v>
      </c>
      <c r="C28" s="29" t="s">
        <v>114</v>
      </c>
      <c r="D28" s="84" t="s">
        <v>116</v>
      </c>
      <c r="E28" s="29" t="s">
        <v>240</v>
      </c>
      <c r="F28" s="28"/>
      <c r="G28" s="58" t="s">
        <v>158</v>
      </c>
      <c r="H28" s="172">
        <f>200-17</f>
        <v>183</v>
      </c>
      <c r="I28" s="66"/>
    </row>
    <row r="29" spans="1:9" ht="15.75">
      <c r="A29" s="15" t="s">
        <v>454</v>
      </c>
      <c r="B29" s="84" t="s">
        <v>201</v>
      </c>
      <c r="C29" s="29" t="s">
        <v>114</v>
      </c>
      <c r="D29" s="84" t="s">
        <v>127</v>
      </c>
      <c r="E29" s="29"/>
      <c r="F29" s="28" t="s">
        <v>36</v>
      </c>
      <c r="G29" s="58"/>
      <c r="H29" s="172">
        <f aca="true" t="shared" si="0" ref="H29:I31">H30</f>
        <v>141</v>
      </c>
      <c r="I29" s="66">
        <f t="shared" si="0"/>
        <v>141</v>
      </c>
    </row>
    <row r="30" spans="1:9" ht="15.75">
      <c r="A30" s="112" t="s">
        <v>231</v>
      </c>
      <c r="B30" s="84" t="s">
        <v>201</v>
      </c>
      <c r="C30" s="29" t="s">
        <v>114</v>
      </c>
      <c r="D30" s="84" t="s">
        <v>127</v>
      </c>
      <c r="E30" s="29" t="s">
        <v>232</v>
      </c>
      <c r="F30" s="28" t="s">
        <v>36</v>
      </c>
      <c r="G30" s="58"/>
      <c r="H30" s="172">
        <f t="shared" si="0"/>
        <v>141</v>
      </c>
      <c r="I30" s="66">
        <f t="shared" si="0"/>
        <v>141</v>
      </c>
    </row>
    <row r="31" spans="1:9" ht="48.75" customHeight="1">
      <c r="A31" s="111" t="s">
        <v>455</v>
      </c>
      <c r="B31" s="84" t="s">
        <v>201</v>
      </c>
      <c r="C31" s="29" t="s">
        <v>114</v>
      </c>
      <c r="D31" s="84" t="s">
        <v>127</v>
      </c>
      <c r="E31" s="29" t="s">
        <v>456</v>
      </c>
      <c r="F31" s="28" t="s">
        <v>36</v>
      </c>
      <c r="G31" s="58"/>
      <c r="H31" s="172">
        <f t="shared" si="0"/>
        <v>141</v>
      </c>
      <c r="I31" s="66">
        <f t="shared" si="0"/>
        <v>141</v>
      </c>
    </row>
    <row r="32" spans="1:9" ht="15.75">
      <c r="A32" s="112" t="s">
        <v>312</v>
      </c>
      <c r="B32" s="84" t="s">
        <v>201</v>
      </c>
      <c r="C32" s="29" t="s">
        <v>114</v>
      </c>
      <c r="D32" s="84" t="s">
        <v>127</v>
      </c>
      <c r="E32" s="29" t="s">
        <v>456</v>
      </c>
      <c r="F32" s="28" t="s">
        <v>158</v>
      </c>
      <c r="G32" s="58" t="s">
        <v>313</v>
      </c>
      <c r="H32" s="172">
        <v>141</v>
      </c>
      <c r="I32" s="66">
        <v>141</v>
      </c>
    </row>
    <row r="33" spans="1:9" s="3" customFormat="1" ht="15.75">
      <c r="A33" s="53" t="s">
        <v>12</v>
      </c>
      <c r="B33" s="85" t="s">
        <v>201</v>
      </c>
      <c r="C33" s="33" t="s">
        <v>114</v>
      </c>
      <c r="D33" s="85" t="s">
        <v>196</v>
      </c>
      <c r="E33" s="33"/>
      <c r="F33" s="32"/>
      <c r="G33" s="99"/>
      <c r="H33" s="169">
        <f aca="true" t="shared" si="1" ref="H33:I35">H34</f>
        <v>5000</v>
      </c>
      <c r="I33" s="34">
        <f t="shared" si="1"/>
        <v>0</v>
      </c>
    </row>
    <row r="34" spans="1:9" ht="15.75">
      <c r="A34" s="103" t="s">
        <v>12</v>
      </c>
      <c r="B34" s="85" t="s">
        <v>201</v>
      </c>
      <c r="C34" s="33" t="s">
        <v>114</v>
      </c>
      <c r="D34" s="85" t="s">
        <v>196</v>
      </c>
      <c r="E34" s="33" t="s">
        <v>15</v>
      </c>
      <c r="F34" s="32"/>
      <c r="G34" s="99"/>
      <c r="H34" s="169">
        <f t="shared" si="1"/>
        <v>5000</v>
      </c>
      <c r="I34" s="34">
        <f t="shared" si="1"/>
        <v>0</v>
      </c>
    </row>
    <row r="35" spans="1:9" ht="29.25">
      <c r="A35" s="110" t="s">
        <v>97</v>
      </c>
      <c r="B35" s="84" t="s">
        <v>201</v>
      </c>
      <c r="C35" s="29" t="s">
        <v>114</v>
      </c>
      <c r="D35" s="84" t="s">
        <v>196</v>
      </c>
      <c r="E35" s="29" t="s">
        <v>98</v>
      </c>
      <c r="F35" s="28"/>
      <c r="G35" s="58"/>
      <c r="H35" s="171">
        <f t="shared" si="1"/>
        <v>5000</v>
      </c>
      <c r="I35" s="30">
        <f t="shared" si="1"/>
        <v>0</v>
      </c>
    </row>
    <row r="36" spans="1:9" ht="15.75">
      <c r="A36" s="112" t="s">
        <v>96</v>
      </c>
      <c r="B36" s="84" t="s">
        <v>201</v>
      </c>
      <c r="C36" s="29" t="s">
        <v>114</v>
      </c>
      <c r="D36" s="84" t="s">
        <v>196</v>
      </c>
      <c r="E36" s="29" t="s">
        <v>98</v>
      </c>
      <c r="F36" s="28"/>
      <c r="G36" s="58" t="s">
        <v>81</v>
      </c>
      <c r="H36" s="172">
        <v>5000</v>
      </c>
      <c r="I36" s="30"/>
    </row>
    <row r="37" spans="1:9" s="3" customFormat="1" ht="15.75">
      <c r="A37" s="15" t="s">
        <v>52</v>
      </c>
      <c r="B37" s="85" t="s">
        <v>201</v>
      </c>
      <c r="C37" s="33" t="s">
        <v>114</v>
      </c>
      <c r="D37" s="85" t="s">
        <v>195</v>
      </c>
      <c r="E37" s="33"/>
      <c r="F37" s="32"/>
      <c r="G37" s="99"/>
      <c r="H37" s="169">
        <f>H40+H38</f>
        <v>20454.4</v>
      </c>
      <c r="I37" s="34">
        <f>I40</f>
        <v>0</v>
      </c>
    </row>
    <row r="38" spans="1:9" s="3" customFormat="1" ht="15.75">
      <c r="A38" s="112" t="s">
        <v>49</v>
      </c>
      <c r="B38" s="89" t="s">
        <v>201</v>
      </c>
      <c r="C38" s="38" t="s">
        <v>114</v>
      </c>
      <c r="D38" s="89" t="s">
        <v>195</v>
      </c>
      <c r="E38" s="38" t="s">
        <v>128</v>
      </c>
      <c r="F38" s="37"/>
      <c r="G38" s="58"/>
      <c r="H38" s="171">
        <f>H39</f>
        <v>1135</v>
      </c>
      <c r="I38" s="30"/>
    </row>
    <row r="39" spans="1:9" s="3" customFormat="1" ht="15.75">
      <c r="A39" s="112" t="s">
        <v>94</v>
      </c>
      <c r="B39" s="89" t="s">
        <v>201</v>
      </c>
      <c r="C39" s="38" t="s">
        <v>114</v>
      </c>
      <c r="D39" s="89" t="s">
        <v>195</v>
      </c>
      <c r="E39" s="38" t="s">
        <v>128</v>
      </c>
      <c r="F39" s="37"/>
      <c r="G39" s="58" t="s">
        <v>158</v>
      </c>
      <c r="H39" s="171">
        <f>135+1000</f>
        <v>1135</v>
      </c>
      <c r="I39" s="30"/>
    </row>
    <row r="40" spans="1:9" ht="15.75">
      <c r="A40" s="108" t="s">
        <v>83</v>
      </c>
      <c r="B40" s="89" t="s">
        <v>201</v>
      </c>
      <c r="C40" s="38" t="s">
        <v>114</v>
      </c>
      <c r="D40" s="89" t="s">
        <v>195</v>
      </c>
      <c r="E40" s="38" t="s">
        <v>84</v>
      </c>
      <c r="F40" s="37"/>
      <c r="G40" s="58"/>
      <c r="H40" s="171">
        <f>H41+H43</f>
        <v>19319.4</v>
      </c>
      <c r="I40" s="47"/>
    </row>
    <row r="41" spans="1:9" ht="43.5">
      <c r="A41" s="110" t="s">
        <v>208</v>
      </c>
      <c r="B41" s="89" t="s">
        <v>201</v>
      </c>
      <c r="C41" s="29" t="s">
        <v>114</v>
      </c>
      <c r="D41" s="84" t="s">
        <v>195</v>
      </c>
      <c r="E41" s="38" t="s">
        <v>136</v>
      </c>
      <c r="F41" s="37"/>
      <c r="G41" s="58"/>
      <c r="H41" s="171">
        <f>H42</f>
        <v>12529.4</v>
      </c>
      <c r="I41" s="47"/>
    </row>
    <row r="42" spans="1:9" ht="15.75">
      <c r="A42" s="108" t="s">
        <v>94</v>
      </c>
      <c r="B42" s="89" t="s">
        <v>201</v>
      </c>
      <c r="C42" s="29" t="s">
        <v>114</v>
      </c>
      <c r="D42" s="84" t="s">
        <v>195</v>
      </c>
      <c r="E42" s="38" t="s">
        <v>136</v>
      </c>
      <c r="F42" s="37"/>
      <c r="G42" s="58" t="s">
        <v>158</v>
      </c>
      <c r="H42" s="171">
        <f>24439.2-1000+20047.8-581-35845+5468.4</f>
        <v>12529.4</v>
      </c>
      <c r="I42" s="47"/>
    </row>
    <row r="43" spans="1:9" ht="93.75" customHeight="1">
      <c r="A43" s="225" t="s">
        <v>209</v>
      </c>
      <c r="B43" s="84" t="s">
        <v>201</v>
      </c>
      <c r="C43" s="29" t="s">
        <v>114</v>
      </c>
      <c r="D43" s="84" t="s">
        <v>195</v>
      </c>
      <c r="E43" s="38" t="s">
        <v>210</v>
      </c>
      <c r="F43" s="28"/>
      <c r="G43" s="58"/>
      <c r="H43" s="174">
        <f>H44</f>
        <v>6790</v>
      </c>
      <c r="I43" s="47"/>
    </row>
    <row r="44" spans="1:9" ht="15.75">
      <c r="A44" s="112" t="s">
        <v>94</v>
      </c>
      <c r="B44" s="67" t="s">
        <v>201</v>
      </c>
      <c r="C44" s="63" t="s">
        <v>114</v>
      </c>
      <c r="D44" s="67" t="s">
        <v>195</v>
      </c>
      <c r="E44" s="38" t="s">
        <v>210</v>
      </c>
      <c r="F44" s="43"/>
      <c r="G44" s="132" t="s">
        <v>158</v>
      </c>
      <c r="H44" s="121">
        <f>7140-350</f>
        <v>6790</v>
      </c>
      <c r="I44" s="126"/>
    </row>
    <row r="45" spans="1:9" ht="15.75">
      <c r="A45" s="53" t="s">
        <v>53</v>
      </c>
      <c r="B45" s="85" t="s">
        <v>201</v>
      </c>
      <c r="C45" s="33" t="s">
        <v>115</v>
      </c>
      <c r="D45" s="85"/>
      <c r="E45" s="33"/>
      <c r="F45" s="32"/>
      <c r="G45" s="99"/>
      <c r="H45" s="164">
        <f>H50+H46</f>
        <v>4519</v>
      </c>
      <c r="I45" s="34">
        <f>I50+I46</f>
        <v>4096</v>
      </c>
    </row>
    <row r="46" spans="1:9" ht="15.75">
      <c r="A46" s="53" t="s">
        <v>377</v>
      </c>
      <c r="B46" s="84" t="s">
        <v>201</v>
      </c>
      <c r="C46" s="29" t="s">
        <v>115</v>
      </c>
      <c r="D46" s="84" t="s">
        <v>119</v>
      </c>
      <c r="E46" s="33"/>
      <c r="F46" s="32"/>
      <c r="G46" s="99"/>
      <c r="H46" s="264">
        <f aca="true" t="shared" si="2" ref="H46:I48">H47</f>
        <v>4096</v>
      </c>
      <c r="I46" s="61">
        <f t="shared" si="2"/>
        <v>4096</v>
      </c>
    </row>
    <row r="47" spans="1:9" ht="15.75">
      <c r="A47" s="110" t="s">
        <v>231</v>
      </c>
      <c r="B47" s="84" t="s">
        <v>201</v>
      </c>
      <c r="C47" s="29" t="s">
        <v>115</v>
      </c>
      <c r="D47" s="84" t="s">
        <v>119</v>
      </c>
      <c r="E47" s="29" t="s">
        <v>232</v>
      </c>
      <c r="F47" s="32"/>
      <c r="G47" s="99"/>
      <c r="H47" s="120">
        <f t="shared" si="2"/>
        <v>4096</v>
      </c>
      <c r="I47" s="50">
        <f t="shared" si="2"/>
        <v>4096</v>
      </c>
    </row>
    <row r="48" spans="1:9" ht="29.25">
      <c r="A48" s="110" t="s">
        <v>238</v>
      </c>
      <c r="B48" s="91" t="s">
        <v>201</v>
      </c>
      <c r="C48" s="49" t="s">
        <v>115</v>
      </c>
      <c r="D48" s="91" t="s">
        <v>119</v>
      </c>
      <c r="E48" s="29" t="s">
        <v>237</v>
      </c>
      <c r="F48" s="32"/>
      <c r="G48" s="99"/>
      <c r="H48" s="120">
        <f t="shared" si="2"/>
        <v>4096</v>
      </c>
      <c r="I48" s="50">
        <f t="shared" si="2"/>
        <v>4096</v>
      </c>
    </row>
    <row r="49" spans="1:9" ht="15.75">
      <c r="A49" s="112" t="s">
        <v>312</v>
      </c>
      <c r="B49" s="91" t="s">
        <v>201</v>
      </c>
      <c r="C49" s="49" t="s">
        <v>115</v>
      </c>
      <c r="D49" s="91" t="s">
        <v>119</v>
      </c>
      <c r="E49" s="29" t="s">
        <v>237</v>
      </c>
      <c r="F49" s="32"/>
      <c r="G49" s="58" t="s">
        <v>313</v>
      </c>
      <c r="H49" s="120">
        <v>4096</v>
      </c>
      <c r="I49" s="50">
        <v>4096</v>
      </c>
    </row>
    <row r="50" spans="1:9" ht="15.75">
      <c r="A50" s="15" t="s">
        <v>54</v>
      </c>
      <c r="B50" s="91" t="s">
        <v>201</v>
      </c>
      <c r="C50" s="49" t="s">
        <v>115</v>
      </c>
      <c r="D50" s="91" t="s">
        <v>116</v>
      </c>
      <c r="E50" s="29"/>
      <c r="F50" s="28"/>
      <c r="G50" s="58"/>
      <c r="H50" s="120">
        <f aca="true" t="shared" si="3" ref="H50:I52">H51</f>
        <v>423</v>
      </c>
      <c r="I50" s="61">
        <f t="shared" si="3"/>
        <v>0</v>
      </c>
    </row>
    <row r="51" spans="1:9" ht="36" customHeight="1">
      <c r="A51" s="110" t="s">
        <v>69</v>
      </c>
      <c r="B51" s="84" t="s">
        <v>201</v>
      </c>
      <c r="C51" s="29" t="s">
        <v>115</v>
      </c>
      <c r="D51" s="84" t="s">
        <v>116</v>
      </c>
      <c r="E51" s="29" t="s">
        <v>55</v>
      </c>
      <c r="F51" s="28"/>
      <c r="G51" s="58"/>
      <c r="H51" s="170">
        <f t="shared" si="3"/>
        <v>423</v>
      </c>
      <c r="I51" s="50">
        <f t="shared" si="3"/>
        <v>0</v>
      </c>
    </row>
    <row r="52" spans="1:9" ht="33" customHeight="1">
      <c r="A52" s="110" t="s">
        <v>70</v>
      </c>
      <c r="B52" s="84" t="s">
        <v>201</v>
      </c>
      <c r="C52" s="29" t="s">
        <v>115</v>
      </c>
      <c r="D52" s="84" t="s">
        <v>116</v>
      </c>
      <c r="E52" s="29" t="s">
        <v>99</v>
      </c>
      <c r="F52" s="28"/>
      <c r="G52" s="58"/>
      <c r="H52" s="171">
        <f t="shared" si="3"/>
        <v>423</v>
      </c>
      <c r="I52" s="30">
        <f t="shared" si="3"/>
        <v>0</v>
      </c>
    </row>
    <row r="53" spans="1:9" ht="15.75">
      <c r="A53" s="112" t="s">
        <v>94</v>
      </c>
      <c r="B53" s="89" t="s">
        <v>201</v>
      </c>
      <c r="C53" s="38" t="s">
        <v>115</v>
      </c>
      <c r="D53" s="89" t="s">
        <v>116</v>
      </c>
      <c r="E53" s="38" t="s">
        <v>99</v>
      </c>
      <c r="F53" s="37"/>
      <c r="G53" s="105" t="s">
        <v>158</v>
      </c>
      <c r="H53" s="174">
        <f>423</f>
        <v>423</v>
      </c>
      <c r="I53" s="118"/>
    </row>
    <row r="54" spans="1:9" ht="30">
      <c r="A54" s="71" t="s">
        <v>76</v>
      </c>
      <c r="B54" s="85" t="s">
        <v>201</v>
      </c>
      <c r="C54" s="33" t="s">
        <v>119</v>
      </c>
      <c r="D54" s="85"/>
      <c r="E54" s="33"/>
      <c r="F54" s="32"/>
      <c r="G54" s="99"/>
      <c r="H54" s="169">
        <f>H55+H59</f>
        <v>5728</v>
      </c>
      <c r="I54" s="210">
        <f>I55+I59</f>
        <v>0</v>
      </c>
    </row>
    <row r="55" spans="1:9" s="3" customFormat="1" ht="36" customHeight="1">
      <c r="A55" s="110" t="s">
        <v>101</v>
      </c>
      <c r="B55" s="91" t="s">
        <v>201</v>
      </c>
      <c r="C55" s="29" t="s">
        <v>119</v>
      </c>
      <c r="D55" s="84" t="s">
        <v>120</v>
      </c>
      <c r="E55" s="29"/>
      <c r="F55" s="28"/>
      <c r="G55" s="58"/>
      <c r="H55" s="171">
        <f aca="true" t="shared" si="4" ref="H55:I57">H56</f>
        <v>1954</v>
      </c>
      <c r="I55" s="34">
        <f t="shared" si="4"/>
        <v>0</v>
      </c>
    </row>
    <row r="56" spans="1:9" ht="29.25" customHeight="1">
      <c r="A56" s="111" t="s">
        <v>88</v>
      </c>
      <c r="B56" s="91" t="s">
        <v>201</v>
      </c>
      <c r="C56" s="49" t="s">
        <v>119</v>
      </c>
      <c r="D56" s="91" t="s">
        <v>120</v>
      </c>
      <c r="E56" s="49" t="s">
        <v>89</v>
      </c>
      <c r="F56" s="48" t="s">
        <v>36</v>
      </c>
      <c r="G56" s="58"/>
      <c r="H56" s="170">
        <f t="shared" si="4"/>
        <v>1954</v>
      </c>
      <c r="I56" s="50">
        <f t="shared" si="4"/>
        <v>0</v>
      </c>
    </row>
    <row r="57" spans="1:9" ht="45.75" customHeight="1">
      <c r="A57" s="111" t="s">
        <v>90</v>
      </c>
      <c r="B57" s="91" t="s">
        <v>201</v>
      </c>
      <c r="C57" s="49" t="s">
        <v>119</v>
      </c>
      <c r="D57" s="91" t="s">
        <v>120</v>
      </c>
      <c r="E57" s="49" t="s">
        <v>102</v>
      </c>
      <c r="F57" s="48" t="s">
        <v>91</v>
      </c>
      <c r="G57" s="58"/>
      <c r="H57" s="170">
        <f t="shared" si="4"/>
        <v>1954</v>
      </c>
      <c r="I57" s="50">
        <f t="shared" si="4"/>
        <v>0</v>
      </c>
    </row>
    <row r="58" spans="1:9" ht="15" customHeight="1">
      <c r="A58" s="112" t="s">
        <v>94</v>
      </c>
      <c r="B58" s="91" t="s">
        <v>201</v>
      </c>
      <c r="C58" s="49" t="s">
        <v>119</v>
      </c>
      <c r="D58" s="91" t="s">
        <v>120</v>
      </c>
      <c r="E58" s="49" t="s">
        <v>102</v>
      </c>
      <c r="F58" s="48"/>
      <c r="G58" s="132" t="s">
        <v>158</v>
      </c>
      <c r="H58" s="170">
        <v>1954</v>
      </c>
      <c r="I58" s="68"/>
    </row>
    <row r="59" spans="1:9" s="3" customFormat="1" ht="30">
      <c r="A59" s="226" t="s">
        <v>71</v>
      </c>
      <c r="B59" s="82" t="s">
        <v>201</v>
      </c>
      <c r="C59" s="59" t="s">
        <v>119</v>
      </c>
      <c r="D59" s="82" t="s">
        <v>118</v>
      </c>
      <c r="E59" s="33"/>
      <c r="F59" s="32"/>
      <c r="G59" s="99"/>
      <c r="H59" s="173">
        <f>H61+H63</f>
        <v>3774</v>
      </c>
      <c r="I59" s="34">
        <f>I61+I63</f>
        <v>0</v>
      </c>
    </row>
    <row r="60" spans="1:9" ht="15.75">
      <c r="A60" s="109" t="s">
        <v>83</v>
      </c>
      <c r="B60" s="89" t="s">
        <v>201</v>
      </c>
      <c r="C60" s="38" t="s">
        <v>119</v>
      </c>
      <c r="D60" s="89" t="s">
        <v>118</v>
      </c>
      <c r="E60" s="38" t="s">
        <v>84</v>
      </c>
      <c r="F60" s="37"/>
      <c r="G60" s="100"/>
      <c r="H60" s="174">
        <f>H61+H64</f>
        <v>3774</v>
      </c>
      <c r="I60" s="50">
        <f>I61</f>
        <v>0</v>
      </c>
    </row>
    <row r="61" spans="1:9" ht="43.5">
      <c r="A61" s="167" t="s">
        <v>254</v>
      </c>
      <c r="B61" s="84" t="s">
        <v>201</v>
      </c>
      <c r="C61" s="29" t="s">
        <v>119</v>
      </c>
      <c r="D61" s="84" t="s">
        <v>118</v>
      </c>
      <c r="E61" s="29" t="s">
        <v>150</v>
      </c>
      <c r="F61" s="28"/>
      <c r="G61" s="58"/>
      <c r="H61" s="171">
        <f>H62</f>
        <v>1762</v>
      </c>
      <c r="I61" s="47"/>
    </row>
    <row r="62" spans="1:9" ht="15.75">
      <c r="A62" s="112" t="s">
        <v>94</v>
      </c>
      <c r="B62" s="91" t="s">
        <v>201</v>
      </c>
      <c r="C62" s="49" t="s">
        <v>119</v>
      </c>
      <c r="D62" s="91" t="s">
        <v>118</v>
      </c>
      <c r="E62" s="63" t="s">
        <v>150</v>
      </c>
      <c r="F62" s="48"/>
      <c r="G62" s="132" t="s">
        <v>158</v>
      </c>
      <c r="H62" s="175">
        <f>2612-550-300</f>
        <v>1762</v>
      </c>
      <c r="I62" s="126"/>
    </row>
    <row r="63" spans="1:9" ht="43.5">
      <c r="A63" s="110" t="s">
        <v>263</v>
      </c>
      <c r="B63" s="84" t="s">
        <v>201</v>
      </c>
      <c r="C63" s="29" t="s">
        <v>119</v>
      </c>
      <c r="D63" s="84" t="s">
        <v>118</v>
      </c>
      <c r="E63" s="29" t="s">
        <v>207</v>
      </c>
      <c r="F63" s="28"/>
      <c r="G63" s="58"/>
      <c r="H63" s="171">
        <f>H64</f>
        <v>2012</v>
      </c>
      <c r="I63" s="47"/>
    </row>
    <row r="64" spans="1:9" ht="15.75">
      <c r="A64" s="112" t="s">
        <v>94</v>
      </c>
      <c r="B64" s="91" t="s">
        <v>201</v>
      </c>
      <c r="C64" s="49" t="s">
        <v>119</v>
      </c>
      <c r="D64" s="91" t="s">
        <v>118</v>
      </c>
      <c r="E64" s="63" t="s">
        <v>207</v>
      </c>
      <c r="F64" s="48"/>
      <c r="G64" s="132" t="s">
        <v>158</v>
      </c>
      <c r="H64" s="170">
        <f>500+1512</f>
        <v>2012</v>
      </c>
      <c r="I64" s="117"/>
    </row>
    <row r="65" spans="1:9" ht="15.75">
      <c r="A65" s="53" t="s">
        <v>42</v>
      </c>
      <c r="B65" s="85" t="s">
        <v>201</v>
      </c>
      <c r="C65" s="33" t="s">
        <v>116</v>
      </c>
      <c r="D65" s="85"/>
      <c r="E65" s="33"/>
      <c r="F65" s="32"/>
      <c r="G65" s="99"/>
      <c r="H65" s="169">
        <f>H66+H71+H82</f>
        <v>138878.6</v>
      </c>
      <c r="I65" s="34">
        <f>I66+I71+I82</f>
        <v>40000</v>
      </c>
    </row>
    <row r="66" spans="1:9" s="3" customFormat="1" ht="15.75">
      <c r="A66" s="15" t="s">
        <v>65</v>
      </c>
      <c r="B66" s="82" t="s">
        <v>201</v>
      </c>
      <c r="C66" s="59" t="s">
        <v>116</v>
      </c>
      <c r="D66" s="82" t="s">
        <v>123</v>
      </c>
      <c r="E66" s="33"/>
      <c r="F66" s="32"/>
      <c r="G66" s="99"/>
      <c r="H66" s="173">
        <f aca="true" t="shared" si="5" ref="H66:I69">H67</f>
        <v>15500</v>
      </c>
      <c r="I66" s="61">
        <f t="shared" si="5"/>
        <v>0</v>
      </c>
    </row>
    <row r="67" spans="1:9" ht="15.75">
      <c r="A67" s="108" t="s">
        <v>104</v>
      </c>
      <c r="B67" s="84" t="s">
        <v>201</v>
      </c>
      <c r="C67" s="49" t="s">
        <v>116</v>
      </c>
      <c r="D67" s="91" t="s">
        <v>123</v>
      </c>
      <c r="E67" s="29" t="s">
        <v>105</v>
      </c>
      <c r="F67" s="28"/>
      <c r="G67" s="58"/>
      <c r="H67" s="171">
        <f t="shared" si="5"/>
        <v>15500</v>
      </c>
      <c r="I67" s="30">
        <f t="shared" si="5"/>
        <v>0</v>
      </c>
    </row>
    <row r="68" spans="1:9" ht="15.75">
      <c r="A68" s="108" t="s">
        <v>106</v>
      </c>
      <c r="B68" s="84" t="s">
        <v>201</v>
      </c>
      <c r="C68" s="49" t="s">
        <v>116</v>
      </c>
      <c r="D68" s="91" t="s">
        <v>123</v>
      </c>
      <c r="E68" s="29" t="s">
        <v>107</v>
      </c>
      <c r="F68" s="28"/>
      <c r="G68" s="58"/>
      <c r="H68" s="171">
        <f t="shared" si="5"/>
        <v>15500</v>
      </c>
      <c r="I68" s="30">
        <f t="shared" si="5"/>
        <v>0</v>
      </c>
    </row>
    <row r="69" spans="1:9" ht="49.5" customHeight="1">
      <c r="A69" s="110" t="s">
        <v>186</v>
      </c>
      <c r="B69" s="91" t="s">
        <v>201</v>
      </c>
      <c r="C69" s="49" t="s">
        <v>116</v>
      </c>
      <c r="D69" s="91" t="s">
        <v>123</v>
      </c>
      <c r="E69" s="29" t="s">
        <v>109</v>
      </c>
      <c r="F69" s="28" t="s">
        <v>36</v>
      </c>
      <c r="G69" s="100"/>
      <c r="H69" s="170">
        <f t="shared" si="5"/>
        <v>15500</v>
      </c>
      <c r="I69" s="50">
        <f t="shared" si="5"/>
        <v>0</v>
      </c>
    </row>
    <row r="70" spans="1:9" ht="15.75">
      <c r="A70" s="112" t="s">
        <v>94</v>
      </c>
      <c r="B70" s="91" t="s">
        <v>201</v>
      </c>
      <c r="C70" s="49" t="s">
        <v>116</v>
      </c>
      <c r="D70" s="91" t="s">
        <v>123</v>
      </c>
      <c r="E70" s="29" t="s">
        <v>109</v>
      </c>
      <c r="F70" s="28" t="s">
        <v>92</v>
      </c>
      <c r="G70" s="58" t="s">
        <v>158</v>
      </c>
      <c r="H70" s="170">
        <f>13279+2221</f>
        <v>15500</v>
      </c>
      <c r="I70" s="68"/>
    </row>
    <row r="71" spans="1:9" s="3" customFormat="1" ht="15.75">
      <c r="A71" s="15" t="s">
        <v>66</v>
      </c>
      <c r="B71" s="82" t="s">
        <v>201</v>
      </c>
      <c r="C71" s="59" t="s">
        <v>116</v>
      </c>
      <c r="D71" s="82" t="s">
        <v>120</v>
      </c>
      <c r="E71" s="33"/>
      <c r="F71" s="32"/>
      <c r="G71" s="99"/>
      <c r="H71" s="173">
        <f>H72+H76</f>
        <v>62145</v>
      </c>
      <c r="I71" s="34">
        <f>I72+I76</f>
        <v>40000</v>
      </c>
    </row>
    <row r="72" spans="1:9" ht="15.75">
      <c r="A72" s="112" t="s">
        <v>66</v>
      </c>
      <c r="B72" s="91" t="s">
        <v>201</v>
      </c>
      <c r="C72" s="49" t="s">
        <v>116</v>
      </c>
      <c r="D72" s="91" t="s">
        <v>120</v>
      </c>
      <c r="E72" s="29" t="s">
        <v>124</v>
      </c>
      <c r="F72" s="28"/>
      <c r="G72" s="58"/>
      <c r="H72" s="170">
        <f>H73</f>
        <v>22145</v>
      </c>
      <c r="I72" s="50">
        <f>I73</f>
        <v>0</v>
      </c>
    </row>
    <row r="73" spans="1:9" ht="15.75">
      <c r="A73" s="112" t="s">
        <v>125</v>
      </c>
      <c r="B73" s="91" t="s">
        <v>201</v>
      </c>
      <c r="C73" s="49" t="s">
        <v>116</v>
      </c>
      <c r="D73" s="91" t="s">
        <v>120</v>
      </c>
      <c r="E73" s="29" t="s">
        <v>126</v>
      </c>
      <c r="F73" s="28"/>
      <c r="G73" s="58"/>
      <c r="H73" s="170">
        <f>H74</f>
        <v>22145</v>
      </c>
      <c r="I73" s="68">
        <f>I75</f>
        <v>0</v>
      </c>
    </row>
    <row r="74" spans="1:9" ht="15.75">
      <c r="A74" s="112" t="s">
        <v>167</v>
      </c>
      <c r="B74" s="91" t="s">
        <v>201</v>
      </c>
      <c r="C74" s="49" t="s">
        <v>116</v>
      </c>
      <c r="D74" s="91" t="s">
        <v>120</v>
      </c>
      <c r="E74" s="29" t="s">
        <v>168</v>
      </c>
      <c r="F74" s="28"/>
      <c r="G74" s="58"/>
      <c r="H74" s="170">
        <f>H75</f>
        <v>22145</v>
      </c>
      <c r="I74" s="30"/>
    </row>
    <row r="75" spans="1:9" ht="15.75">
      <c r="A75" s="112" t="s">
        <v>94</v>
      </c>
      <c r="B75" s="91" t="s">
        <v>201</v>
      </c>
      <c r="C75" s="49" t="s">
        <v>116</v>
      </c>
      <c r="D75" s="91" t="s">
        <v>120</v>
      </c>
      <c r="E75" s="29" t="s">
        <v>168</v>
      </c>
      <c r="F75" s="28"/>
      <c r="G75" s="58" t="s">
        <v>158</v>
      </c>
      <c r="H75" s="175">
        <f>27102+5000+43-9000-1000</f>
        <v>22145</v>
      </c>
      <c r="I75" s="68"/>
    </row>
    <row r="76" spans="1:9" ht="15.75">
      <c r="A76" s="112" t="s">
        <v>230</v>
      </c>
      <c r="B76" s="91" t="s">
        <v>201</v>
      </c>
      <c r="C76" s="49" t="s">
        <v>116</v>
      </c>
      <c r="D76" s="91" t="s">
        <v>120</v>
      </c>
      <c r="E76" s="29" t="s">
        <v>229</v>
      </c>
      <c r="F76" s="28"/>
      <c r="G76" s="58"/>
      <c r="H76" s="171">
        <f>H77</f>
        <v>40000</v>
      </c>
      <c r="I76" s="39">
        <f>I77</f>
        <v>40000</v>
      </c>
    </row>
    <row r="77" spans="1:9" ht="37.5" customHeight="1">
      <c r="A77" s="111" t="s">
        <v>385</v>
      </c>
      <c r="B77" s="91" t="s">
        <v>201</v>
      </c>
      <c r="C77" s="49" t="s">
        <v>116</v>
      </c>
      <c r="D77" s="91" t="s">
        <v>120</v>
      </c>
      <c r="E77" s="29" t="s">
        <v>384</v>
      </c>
      <c r="F77" s="28"/>
      <c r="G77" s="58"/>
      <c r="H77" s="174">
        <f>H78+H80</f>
        <v>40000</v>
      </c>
      <c r="I77" s="30">
        <f>I78+I80</f>
        <v>40000</v>
      </c>
    </row>
    <row r="78" spans="1:9" ht="35.25" customHeight="1">
      <c r="A78" s="325" t="s">
        <v>422</v>
      </c>
      <c r="B78" s="84" t="s">
        <v>201</v>
      </c>
      <c r="C78" s="29" t="s">
        <v>116</v>
      </c>
      <c r="D78" s="84" t="s">
        <v>120</v>
      </c>
      <c r="E78" s="29" t="s">
        <v>419</v>
      </c>
      <c r="F78" s="28"/>
      <c r="G78" s="58"/>
      <c r="H78" s="30">
        <f>H79</f>
        <v>20000</v>
      </c>
      <c r="I78" s="50">
        <f>I79</f>
        <v>20000</v>
      </c>
    </row>
    <row r="79" spans="1:9" ht="15.75">
      <c r="A79" s="290" t="s">
        <v>330</v>
      </c>
      <c r="B79" s="84" t="s">
        <v>201</v>
      </c>
      <c r="C79" s="29" t="s">
        <v>116</v>
      </c>
      <c r="D79" s="84" t="s">
        <v>120</v>
      </c>
      <c r="E79" s="29" t="s">
        <v>419</v>
      </c>
      <c r="F79" s="28"/>
      <c r="G79" s="58" t="s">
        <v>329</v>
      </c>
      <c r="H79" s="175">
        <v>20000</v>
      </c>
      <c r="I79" s="68">
        <v>20000</v>
      </c>
    </row>
    <row r="80" spans="1:9" ht="57.75">
      <c r="A80" s="325" t="s">
        <v>421</v>
      </c>
      <c r="B80" s="84" t="s">
        <v>201</v>
      </c>
      <c r="C80" s="29" t="s">
        <v>116</v>
      </c>
      <c r="D80" s="84" t="s">
        <v>120</v>
      </c>
      <c r="E80" s="29" t="s">
        <v>420</v>
      </c>
      <c r="F80" s="28"/>
      <c r="G80" s="58"/>
      <c r="H80" s="30">
        <f>H81</f>
        <v>20000</v>
      </c>
      <c r="I80" s="30">
        <f>I81</f>
        <v>20000</v>
      </c>
    </row>
    <row r="81" spans="1:9" ht="15.75">
      <c r="A81" s="290" t="s">
        <v>330</v>
      </c>
      <c r="B81" s="84" t="s">
        <v>201</v>
      </c>
      <c r="C81" s="29" t="s">
        <v>116</v>
      </c>
      <c r="D81" s="84" t="s">
        <v>120</v>
      </c>
      <c r="E81" s="29" t="s">
        <v>420</v>
      </c>
      <c r="F81" s="28"/>
      <c r="G81" s="58" t="s">
        <v>329</v>
      </c>
      <c r="H81" s="170">
        <v>20000</v>
      </c>
      <c r="I81" s="50">
        <v>20000</v>
      </c>
    </row>
    <row r="82" spans="1:9" s="3" customFormat="1" ht="15.75">
      <c r="A82" s="15" t="s">
        <v>43</v>
      </c>
      <c r="B82" s="82" t="s">
        <v>201</v>
      </c>
      <c r="C82" s="59" t="s">
        <v>116</v>
      </c>
      <c r="D82" s="82" t="s">
        <v>117</v>
      </c>
      <c r="E82" s="33"/>
      <c r="F82" s="32"/>
      <c r="G82" s="99"/>
      <c r="H82" s="173">
        <f>H86+H83</f>
        <v>61233.6</v>
      </c>
      <c r="I82" s="34">
        <f>I86+I83</f>
        <v>0</v>
      </c>
    </row>
    <row r="83" spans="1:9" s="3" customFormat="1" ht="30.75" customHeight="1">
      <c r="A83" s="110" t="s">
        <v>69</v>
      </c>
      <c r="B83" s="91" t="s">
        <v>201</v>
      </c>
      <c r="C83" s="49" t="s">
        <v>116</v>
      </c>
      <c r="D83" s="91" t="s">
        <v>117</v>
      </c>
      <c r="E83" s="29" t="s">
        <v>87</v>
      </c>
      <c r="F83" s="32"/>
      <c r="G83" s="58"/>
      <c r="H83" s="170">
        <f>H84</f>
        <v>59858.9</v>
      </c>
      <c r="I83" s="61"/>
    </row>
    <row r="84" spans="1:9" s="3" customFormat="1" ht="15.75">
      <c r="A84" s="108" t="s">
        <v>18</v>
      </c>
      <c r="B84" s="91" t="s">
        <v>201</v>
      </c>
      <c r="C84" s="49" t="s">
        <v>116</v>
      </c>
      <c r="D84" s="91" t="s">
        <v>117</v>
      </c>
      <c r="E84" s="29" t="s">
        <v>221</v>
      </c>
      <c r="F84" s="28"/>
      <c r="G84" s="58"/>
      <c r="H84" s="170">
        <f>H85</f>
        <v>59858.9</v>
      </c>
      <c r="I84" s="61"/>
    </row>
    <row r="85" spans="1:9" s="3" customFormat="1" ht="15.75">
      <c r="A85" s="185" t="s">
        <v>155</v>
      </c>
      <c r="B85" s="91" t="s">
        <v>201</v>
      </c>
      <c r="C85" s="49" t="s">
        <v>116</v>
      </c>
      <c r="D85" s="91" t="s">
        <v>117</v>
      </c>
      <c r="E85" s="29" t="s">
        <v>221</v>
      </c>
      <c r="F85" s="28"/>
      <c r="G85" s="100" t="s">
        <v>156</v>
      </c>
      <c r="H85" s="171">
        <f>45360.3+300+12850+468-468+942-192+188.3+307.6+102.7</f>
        <v>59858.9</v>
      </c>
      <c r="I85" s="61"/>
    </row>
    <row r="86" spans="1:9" ht="15.75">
      <c r="A86" s="108" t="s">
        <v>83</v>
      </c>
      <c r="B86" s="89" t="s">
        <v>201</v>
      </c>
      <c r="C86" s="49" t="s">
        <v>116</v>
      </c>
      <c r="D86" s="89" t="s">
        <v>117</v>
      </c>
      <c r="E86" s="38" t="s">
        <v>84</v>
      </c>
      <c r="F86" s="37"/>
      <c r="G86" s="58"/>
      <c r="H86" s="174">
        <f>H87+H90</f>
        <v>1374.7</v>
      </c>
      <c r="I86" s="118"/>
    </row>
    <row r="87" spans="1:9" ht="43.5">
      <c r="A87" s="167" t="s">
        <v>211</v>
      </c>
      <c r="B87" s="89" t="s">
        <v>201</v>
      </c>
      <c r="C87" s="49" t="s">
        <v>116</v>
      </c>
      <c r="D87" s="89" t="s">
        <v>117</v>
      </c>
      <c r="E87" s="38" t="s">
        <v>217</v>
      </c>
      <c r="F87" s="37"/>
      <c r="G87" s="58"/>
      <c r="H87" s="174">
        <f>H88+H89</f>
        <v>995</v>
      </c>
      <c r="I87" s="118"/>
    </row>
    <row r="88" spans="1:9" ht="15.75">
      <c r="A88" s="127" t="s">
        <v>272</v>
      </c>
      <c r="B88" s="89" t="s">
        <v>201</v>
      </c>
      <c r="C88" s="49" t="s">
        <v>116</v>
      </c>
      <c r="D88" s="89" t="s">
        <v>117</v>
      </c>
      <c r="E88" s="38" t="s">
        <v>217</v>
      </c>
      <c r="F88" s="37"/>
      <c r="G88" s="132" t="s">
        <v>57</v>
      </c>
      <c r="H88" s="174">
        <v>350</v>
      </c>
      <c r="I88" s="118"/>
    </row>
    <row r="89" spans="1:9" ht="15.75">
      <c r="A89" s="114" t="s">
        <v>94</v>
      </c>
      <c r="B89" s="89" t="s">
        <v>201</v>
      </c>
      <c r="C89" s="49" t="s">
        <v>116</v>
      </c>
      <c r="D89" s="89" t="s">
        <v>117</v>
      </c>
      <c r="E89" s="38" t="s">
        <v>217</v>
      </c>
      <c r="F89" s="37"/>
      <c r="G89" s="132" t="s">
        <v>158</v>
      </c>
      <c r="H89" s="174">
        <f>100+895-350</f>
        <v>645</v>
      </c>
      <c r="I89" s="118"/>
    </row>
    <row r="90" spans="1:9" ht="44.25" customHeight="1">
      <c r="A90" s="159" t="s">
        <v>251</v>
      </c>
      <c r="B90" s="89" t="s">
        <v>201</v>
      </c>
      <c r="C90" s="49" t="s">
        <v>116</v>
      </c>
      <c r="D90" s="89" t="s">
        <v>117</v>
      </c>
      <c r="E90" s="38" t="s">
        <v>151</v>
      </c>
      <c r="F90" s="28" t="s">
        <v>36</v>
      </c>
      <c r="G90" s="58"/>
      <c r="H90" s="174">
        <f>H91</f>
        <v>379.7</v>
      </c>
      <c r="I90" s="118"/>
    </row>
    <row r="91" spans="1:9" ht="15.75">
      <c r="A91" s="290" t="s">
        <v>94</v>
      </c>
      <c r="B91" s="291" t="s">
        <v>201</v>
      </c>
      <c r="C91" s="292" t="s">
        <v>116</v>
      </c>
      <c r="D91" s="291" t="s">
        <v>117</v>
      </c>
      <c r="E91" s="293" t="s">
        <v>151</v>
      </c>
      <c r="F91" s="294" t="s">
        <v>85</v>
      </c>
      <c r="G91" s="295" t="s">
        <v>158</v>
      </c>
      <c r="H91" s="296">
        <f>300+79.7</f>
        <v>379.7</v>
      </c>
      <c r="I91" s="297"/>
    </row>
    <row r="92" spans="1:9" s="3" customFormat="1" ht="15.75">
      <c r="A92" s="53" t="s">
        <v>16</v>
      </c>
      <c r="B92" s="96" t="s">
        <v>201</v>
      </c>
      <c r="C92" s="64" t="s">
        <v>127</v>
      </c>
      <c r="D92" s="96"/>
      <c r="E92" s="64"/>
      <c r="F92" s="32"/>
      <c r="G92" s="251"/>
      <c r="H92" s="209">
        <f>H93+H115+H132</f>
        <v>505273.30000000005</v>
      </c>
      <c r="I92" s="34">
        <f>I93+I115+I132</f>
        <v>309450.7</v>
      </c>
    </row>
    <row r="93" spans="1:9" s="3" customFormat="1" ht="15.75">
      <c r="A93" s="53" t="s">
        <v>45</v>
      </c>
      <c r="B93" s="85" t="s">
        <v>201</v>
      </c>
      <c r="C93" s="33" t="s">
        <v>127</v>
      </c>
      <c r="D93" s="85" t="s">
        <v>114</v>
      </c>
      <c r="E93" s="33"/>
      <c r="F93" s="32"/>
      <c r="G93" s="99"/>
      <c r="H93" s="169">
        <f>H104+H94+H101</f>
        <v>137479.6</v>
      </c>
      <c r="I93" s="61">
        <f>I104+I94</f>
        <v>77410.7</v>
      </c>
    </row>
    <row r="94" spans="1:9" s="3" customFormat="1" ht="29.25">
      <c r="A94" s="252" t="s">
        <v>286</v>
      </c>
      <c r="B94" s="63" t="s">
        <v>201</v>
      </c>
      <c r="C94" s="43" t="s">
        <v>127</v>
      </c>
      <c r="D94" s="63" t="s">
        <v>114</v>
      </c>
      <c r="E94" s="217" t="s">
        <v>287</v>
      </c>
      <c r="F94" s="43" t="s">
        <v>36</v>
      </c>
      <c r="G94" s="105"/>
      <c r="H94" s="175">
        <f>H97+H100</f>
        <v>121908.6</v>
      </c>
      <c r="I94" s="50">
        <f>I97+I100</f>
        <v>77410.7</v>
      </c>
    </row>
    <row r="95" spans="1:9" s="3" customFormat="1" ht="72">
      <c r="A95" s="253" t="s">
        <v>288</v>
      </c>
      <c r="B95" s="29" t="s">
        <v>201</v>
      </c>
      <c r="C95" s="28" t="s">
        <v>127</v>
      </c>
      <c r="D95" s="29" t="s">
        <v>114</v>
      </c>
      <c r="E95" s="75" t="s">
        <v>289</v>
      </c>
      <c r="F95" s="76" t="s">
        <v>36</v>
      </c>
      <c r="G95" s="58"/>
      <c r="H95" s="171">
        <f>H96</f>
        <v>60954.3</v>
      </c>
      <c r="I95" s="50">
        <f>I96</f>
        <v>55696.5</v>
      </c>
    </row>
    <row r="96" spans="1:9" s="3" customFormat="1" ht="57.75">
      <c r="A96" s="253" t="s">
        <v>290</v>
      </c>
      <c r="B96" s="29" t="s">
        <v>201</v>
      </c>
      <c r="C96" s="28" t="s">
        <v>127</v>
      </c>
      <c r="D96" s="29" t="s">
        <v>114</v>
      </c>
      <c r="E96" s="75" t="s">
        <v>291</v>
      </c>
      <c r="F96" s="76" t="s">
        <v>36</v>
      </c>
      <c r="G96" s="58"/>
      <c r="H96" s="171">
        <f>H97</f>
        <v>60954.3</v>
      </c>
      <c r="I96" s="30">
        <f>I97</f>
        <v>55696.5</v>
      </c>
    </row>
    <row r="97" spans="1:9" s="3" customFormat="1" ht="47.25" customHeight="1">
      <c r="A97" s="253" t="s">
        <v>442</v>
      </c>
      <c r="B97" s="29" t="s">
        <v>201</v>
      </c>
      <c r="C97" s="28" t="s">
        <v>127</v>
      </c>
      <c r="D97" s="29" t="s">
        <v>114</v>
      </c>
      <c r="E97" s="75" t="s">
        <v>291</v>
      </c>
      <c r="F97" s="76" t="s">
        <v>57</v>
      </c>
      <c r="G97" s="58" t="s">
        <v>428</v>
      </c>
      <c r="H97" s="171">
        <f>5257.8+43428.4+12268.1</f>
        <v>60954.3</v>
      </c>
      <c r="I97" s="30">
        <f>43428.4+12268.1</f>
        <v>55696.5</v>
      </c>
    </row>
    <row r="98" spans="1:9" s="3" customFormat="1" ht="33" customHeight="1">
      <c r="A98" s="253" t="s">
        <v>292</v>
      </c>
      <c r="B98" s="29" t="s">
        <v>201</v>
      </c>
      <c r="C98" s="28" t="s">
        <v>127</v>
      </c>
      <c r="D98" s="29" t="s">
        <v>114</v>
      </c>
      <c r="E98" s="75" t="s">
        <v>293</v>
      </c>
      <c r="F98" s="76" t="s">
        <v>36</v>
      </c>
      <c r="G98" s="58"/>
      <c r="H98" s="171">
        <f>H99</f>
        <v>60954.299999999996</v>
      </c>
      <c r="I98" s="30">
        <f>I99</f>
        <v>21714.2</v>
      </c>
    </row>
    <row r="99" spans="1:9" s="3" customFormat="1" ht="35.25" customHeight="1">
      <c r="A99" s="253" t="s">
        <v>286</v>
      </c>
      <c r="B99" s="29" t="s">
        <v>201</v>
      </c>
      <c r="C99" s="28" t="s">
        <v>127</v>
      </c>
      <c r="D99" s="29" t="s">
        <v>114</v>
      </c>
      <c r="E99" s="75" t="s">
        <v>294</v>
      </c>
      <c r="F99" s="76" t="s">
        <v>36</v>
      </c>
      <c r="G99" s="58"/>
      <c r="H99" s="171">
        <f>H100</f>
        <v>60954.299999999996</v>
      </c>
      <c r="I99" s="30">
        <f>I100</f>
        <v>21714.2</v>
      </c>
    </row>
    <row r="100" spans="1:9" s="3" customFormat="1" ht="52.5" customHeight="1">
      <c r="A100" s="253" t="s">
        <v>442</v>
      </c>
      <c r="B100" s="29" t="s">
        <v>201</v>
      </c>
      <c r="C100" s="28" t="s">
        <v>127</v>
      </c>
      <c r="D100" s="29" t="s">
        <v>114</v>
      </c>
      <c r="E100" s="75" t="s">
        <v>294</v>
      </c>
      <c r="F100" s="76" t="s">
        <v>57</v>
      </c>
      <c r="G100" s="58" t="s">
        <v>428</v>
      </c>
      <c r="H100" s="171">
        <f>8763+9446.5-683.5+21714.2+16160.7+5553.5-0.1</f>
        <v>60954.299999999996</v>
      </c>
      <c r="I100" s="30">
        <v>21714.2</v>
      </c>
    </row>
    <row r="101" spans="1:9" s="3" customFormat="1" ht="18.75" customHeight="1">
      <c r="A101" s="260" t="s">
        <v>304</v>
      </c>
      <c r="B101" s="29" t="s">
        <v>201</v>
      </c>
      <c r="C101" s="28" t="s">
        <v>127</v>
      </c>
      <c r="D101" s="29" t="s">
        <v>114</v>
      </c>
      <c r="E101" s="28" t="s">
        <v>303</v>
      </c>
      <c r="F101" s="28" t="s">
        <v>36</v>
      </c>
      <c r="G101" s="132"/>
      <c r="H101" s="170">
        <f>H102</f>
        <v>2364.2000000000003</v>
      </c>
      <c r="I101" s="34"/>
    </row>
    <row r="102" spans="1:9" s="3" customFormat="1" ht="18.75" customHeight="1">
      <c r="A102" s="260" t="s">
        <v>305</v>
      </c>
      <c r="B102" s="29" t="s">
        <v>201</v>
      </c>
      <c r="C102" s="28" t="s">
        <v>127</v>
      </c>
      <c r="D102" s="29" t="s">
        <v>114</v>
      </c>
      <c r="E102" s="28" t="s">
        <v>306</v>
      </c>
      <c r="F102" s="28" t="s">
        <v>36</v>
      </c>
      <c r="G102" s="132"/>
      <c r="H102" s="170">
        <f>H103</f>
        <v>2364.2000000000003</v>
      </c>
      <c r="I102" s="34"/>
    </row>
    <row r="103" spans="1:9" s="3" customFormat="1" ht="18.75" customHeight="1">
      <c r="A103" s="260" t="s">
        <v>94</v>
      </c>
      <c r="B103" s="29" t="s">
        <v>201</v>
      </c>
      <c r="C103" s="28" t="s">
        <v>127</v>
      </c>
      <c r="D103" s="29" t="s">
        <v>114</v>
      </c>
      <c r="E103" s="28" t="s">
        <v>306</v>
      </c>
      <c r="F103" s="28" t="s">
        <v>158</v>
      </c>
      <c r="G103" s="132" t="s">
        <v>158</v>
      </c>
      <c r="H103" s="170">
        <f>683.5+1577.3+21.4+20.1+61.9</f>
        <v>2364.2000000000003</v>
      </c>
      <c r="I103" s="34"/>
    </row>
    <row r="104" spans="1:9" s="3" customFormat="1" ht="16.5" customHeight="1">
      <c r="A104" s="109" t="s">
        <v>83</v>
      </c>
      <c r="B104" s="29" t="s">
        <v>201</v>
      </c>
      <c r="C104" s="28" t="s">
        <v>127</v>
      </c>
      <c r="D104" s="29" t="s">
        <v>114</v>
      </c>
      <c r="E104" s="131" t="s">
        <v>84</v>
      </c>
      <c r="F104" s="28"/>
      <c r="G104" s="132"/>
      <c r="H104" s="170">
        <f>H106+H108+H110+H111+H113</f>
        <v>13206.8</v>
      </c>
      <c r="I104" s="30">
        <f>I106+I108+I110</f>
        <v>0</v>
      </c>
    </row>
    <row r="105" spans="1:9" s="3" customFormat="1" ht="63.75" customHeight="1">
      <c r="A105" s="110" t="s">
        <v>258</v>
      </c>
      <c r="B105" s="91" t="s">
        <v>201</v>
      </c>
      <c r="C105" s="29" t="s">
        <v>127</v>
      </c>
      <c r="D105" s="91" t="s">
        <v>114</v>
      </c>
      <c r="E105" s="38" t="s">
        <v>153</v>
      </c>
      <c r="F105" s="28"/>
      <c r="G105" s="58"/>
      <c r="H105" s="171">
        <f>H106</f>
        <v>5052</v>
      </c>
      <c r="I105" s="50"/>
    </row>
    <row r="106" spans="1:9" s="3" customFormat="1" ht="15.75">
      <c r="A106" s="260" t="s">
        <v>94</v>
      </c>
      <c r="B106" s="84" t="s">
        <v>201</v>
      </c>
      <c r="C106" s="29" t="s">
        <v>127</v>
      </c>
      <c r="D106" s="84" t="s">
        <v>114</v>
      </c>
      <c r="E106" s="38" t="s">
        <v>153</v>
      </c>
      <c r="F106" s="28"/>
      <c r="G106" s="58" t="s">
        <v>158</v>
      </c>
      <c r="H106" s="171">
        <v>5052</v>
      </c>
      <c r="I106" s="30"/>
    </row>
    <row r="107" spans="1:9" s="3" customFormat="1" ht="42.75">
      <c r="A107" s="227" t="s">
        <v>212</v>
      </c>
      <c r="B107" s="84" t="s">
        <v>201</v>
      </c>
      <c r="C107" s="29" t="s">
        <v>127</v>
      </c>
      <c r="D107" s="84" t="s">
        <v>114</v>
      </c>
      <c r="E107" s="38" t="s">
        <v>260</v>
      </c>
      <c r="F107" s="28"/>
      <c r="G107" s="58"/>
      <c r="H107" s="171">
        <f>H108</f>
        <v>1600</v>
      </c>
      <c r="I107" s="30"/>
    </row>
    <row r="108" spans="1:9" s="3" customFormat="1" ht="15.75">
      <c r="A108" s="112" t="s">
        <v>94</v>
      </c>
      <c r="B108" s="29" t="s">
        <v>201</v>
      </c>
      <c r="C108" s="29" t="s">
        <v>127</v>
      </c>
      <c r="D108" s="84" t="s">
        <v>114</v>
      </c>
      <c r="E108" s="38" t="s">
        <v>260</v>
      </c>
      <c r="F108" s="28"/>
      <c r="G108" s="58" t="s">
        <v>158</v>
      </c>
      <c r="H108" s="171">
        <v>1600</v>
      </c>
      <c r="I108" s="30"/>
    </row>
    <row r="109" spans="1:9" s="3" customFormat="1" ht="42.75">
      <c r="A109" s="208" t="s">
        <v>259</v>
      </c>
      <c r="B109" s="49" t="s">
        <v>201</v>
      </c>
      <c r="C109" s="131" t="s">
        <v>127</v>
      </c>
      <c r="D109" s="84" t="s">
        <v>114</v>
      </c>
      <c r="E109" s="38" t="s">
        <v>215</v>
      </c>
      <c r="F109" s="28"/>
      <c r="G109" s="58"/>
      <c r="H109" s="171">
        <f>H110</f>
        <v>5858.8</v>
      </c>
      <c r="I109" s="50"/>
    </row>
    <row r="110" spans="1:9" s="3" customFormat="1" ht="21" customHeight="1">
      <c r="A110" s="236" t="s">
        <v>272</v>
      </c>
      <c r="B110" s="29" t="s">
        <v>201</v>
      </c>
      <c r="C110" s="131" t="s">
        <v>127</v>
      </c>
      <c r="D110" s="84" t="s">
        <v>114</v>
      </c>
      <c r="E110" s="38" t="s">
        <v>215</v>
      </c>
      <c r="F110" s="28"/>
      <c r="G110" s="58" t="s">
        <v>57</v>
      </c>
      <c r="H110" s="171">
        <f>15000-9446.5-5553.5+2350+1170+2338.8</f>
        <v>5858.8</v>
      </c>
      <c r="I110" s="39"/>
    </row>
    <row r="111" spans="1:9" s="3" customFormat="1" ht="51" customHeight="1">
      <c r="A111" s="236" t="s">
        <v>307</v>
      </c>
      <c r="B111" s="38" t="s">
        <v>201</v>
      </c>
      <c r="C111" s="131" t="s">
        <v>127</v>
      </c>
      <c r="D111" s="89" t="s">
        <v>114</v>
      </c>
      <c r="E111" s="38" t="s">
        <v>308</v>
      </c>
      <c r="F111" s="28" t="s">
        <v>36</v>
      </c>
      <c r="G111" s="58"/>
      <c r="H111" s="171">
        <f>H112</f>
        <v>600</v>
      </c>
      <c r="I111" s="39"/>
    </row>
    <row r="112" spans="1:9" s="3" customFormat="1" ht="15.75">
      <c r="A112" s="112" t="s">
        <v>94</v>
      </c>
      <c r="B112" s="38" t="s">
        <v>201</v>
      </c>
      <c r="C112" s="131" t="s">
        <v>127</v>
      </c>
      <c r="D112" s="89" t="s">
        <v>114</v>
      </c>
      <c r="E112" s="38" t="s">
        <v>308</v>
      </c>
      <c r="F112" s="28" t="s">
        <v>158</v>
      </c>
      <c r="G112" s="58" t="s">
        <v>158</v>
      </c>
      <c r="H112" s="171">
        <v>600</v>
      </c>
      <c r="I112" s="39"/>
    </row>
    <row r="113" spans="1:9" s="3" customFormat="1" ht="75.75" customHeight="1">
      <c r="A113" s="261" t="s">
        <v>309</v>
      </c>
      <c r="B113" s="38" t="s">
        <v>201</v>
      </c>
      <c r="C113" s="131" t="s">
        <v>127</v>
      </c>
      <c r="D113" s="89" t="s">
        <v>114</v>
      </c>
      <c r="E113" s="38" t="s">
        <v>310</v>
      </c>
      <c r="F113" s="28" t="s">
        <v>36</v>
      </c>
      <c r="G113" s="58"/>
      <c r="H113" s="174">
        <f>H114</f>
        <v>96</v>
      </c>
      <c r="I113" s="39"/>
    </row>
    <row r="114" spans="1:9" s="3" customFormat="1" ht="19.5" customHeight="1">
      <c r="A114" s="236" t="s">
        <v>94</v>
      </c>
      <c r="B114" s="38" t="s">
        <v>201</v>
      </c>
      <c r="C114" s="131" t="s">
        <v>127</v>
      </c>
      <c r="D114" s="89" t="s">
        <v>114</v>
      </c>
      <c r="E114" s="38" t="s">
        <v>310</v>
      </c>
      <c r="F114" s="28" t="s">
        <v>158</v>
      </c>
      <c r="G114" s="58" t="s">
        <v>158</v>
      </c>
      <c r="H114" s="165">
        <v>96</v>
      </c>
      <c r="I114" s="39"/>
    </row>
    <row r="115" spans="1:9" s="3" customFormat="1" ht="15.75">
      <c r="A115" s="15" t="s">
        <v>227</v>
      </c>
      <c r="B115" s="64" t="s">
        <v>201</v>
      </c>
      <c r="C115" s="154" t="s">
        <v>127</v>
      </c>
      <c r="D115" s="96" t="s">
        <v>115</v>
      </c>
      <c r="E115" s="33"/>
      <c r="F115" s="32"/>
      <c r="G115" s="99"/>
      <c r="H115" s="164">
        <f>H125+H119+H116</f>
        <v>296348.7</v>
      </c>
      <c r="I115" s="34">
        <f>I125+I119</f>
        <v>229200</v>
      </c>
    </row>
    <row r="116" spans="1:9" s="3" customFormat="1" ht="15.75">
      <c r="A116" s="358" t="s">
        <v>471</v>
      </c>
      <c r="B116" s="38" t="s">
        <v>201</v>
      </c>
      <c r="C116" s="131" t="s">
        <v>127</v>
      </c>
      <c r="D116" s="89" t="s">
        <v>115</v>
      </c>
      <c r="E116" s="29" t="s">
        <v>472</v>
      </c>
      <c r="F116" s="32"/>
      <c r="G116" s="99"/>
      <c r="H116" s="121">
        <f>H117</f>
        <v>50118.8</v>
      </c>
      <c r="I116" s="30"/>
    </row>
    <row r="117" spans="1:9" s="3" customFormat="1" ht="15.75">
      <c r="A117" s="358" t="s">
        <v>473</v>
      </c>
      <c r="B117" s="38" t="s">
        <v>201</v>
      </c>
      <c r="C117" s="131" t="s">
        <v>127</v>
      </c>
      <c r="D117" s="89" t="s">
        <v>115</v>
      </c>
      <c r="E117" s="29" t="s">
        <v>474</v>
      </c>
      <c r="F117" s="32"/>
      <c r="G117" s="99"/>
      <c r="H117" s="121">
        <f>H118</f>
        <v>50118.8</v>
      </c>
      <c r="I117" s="30"/>
    </row>
    <row r="118" spans="1:9" s="3" customFormat="1" ht="15.75">
      <c r="A118" s="236" t="s">
        <v>94</v>
      </c>
      <c r="B118" s="38" t="s">
        <v>201</v>
      </c>
      <c r="C118" s="131" t="s">
        <v>127</v>
      </c>
      <c r="D118" s="89" t="s">
        <v>115</v>
      </c>
      <c r="E118" s="29" t="s">
        <v>474</v>
      </c>
      <c r="F118" s="32"/>
      <c r="G118" s="58" t="s">
        <v>158</v>
      </c>
      <c r="H118" s="121">
        <f>118.8+50000</f>
        <v>50118.8</v>
      </c>
      <c r="I118" s="30"/>
    </row>
    <row r="119" spans="1:9" s="3" customFormat="1" ht="15.75">
      <c r="A119" s="112" t="s">
        <v>230</v>
      </c>
      <c r="B119" s="29" t="s">
        <v>201</v>
      </c>
      <c r="C119" s="37" t="s">
        <v>127</v>
      </c>
      <c r="D119" s="38" t="s">
        <v>115</v>
      </c>
      <c r="E119" s="29" t="s">
        <v>229</v>
      </c>
      <c r="F119" s="28"/>
      <c r="G119" s="58"/>
      <c r="H119" s="121">
        <f>H120</f>
        <v>229200</v>
      </c>
      <c r="I119" s="30">
        <f>I120</f>
        <v>229200</v>
      </c>
    </row>
    <row r="120" spans="1:9" s="3" customFormat="1" ht="28.5" customHeight="1">
      <c r="A120" s="111" t="s">
        <v>283</v>
      </c>
      <c r="B120" s="49" t="s">
        <v>201</v>
      </c>
      <c r="C120" s="84" t="s">
        <v>127</v>
      </c>
      <c r="D120" s="29" t="s">
        <v>115</v>
      </c>
      <c r="E120" s="29" t="s">
        <v>282</v>
      </c>
      <c r="F120" s="28"/>
      <c r="G120" s="58"/>
      <c r="H120" s="121">
        <f>H121+H123</f>
        <v>229200</v>
      </c>
      <c r="I120" s="30">
        <f>I121+I123</f>
        <v>229200</v>
      </c>
    </row>
    <row r="121" spans="1:9" s="3" customFormat="1" ht="29.25">
      <c r="A121" s="110" t="s">
        <v>284</v>
      </c>
      <c r="B121" s="29" t="s">
        <v>201</v>
      </c>
      <c r="C121" s="84" t="s">
        <v>127</v>
      </c>
      <c r="D121" s="29" t="s">
        <v>115</v>
      </c>
      <c r="E121" s="29" t="s">
        <v>281</v>
      </c>
      <c r="F121" s="28"/>
      <c r="G121" s="58"/>
      <c r="H121" s="121">
        <f>H122</f>
        <v>187200</v>
      </c>
      <c r="I121" s="30">
        <f>I122</f>
        <v>187200</v>
      </c>
    </row>
    <row r="122" spans="1:9" s="3" customFormat="1" ht="58.5">
      <c r="A122" s="238" t="s">
        <v>285</v>
      </c>
      <c r="B122" s="29" t="s">
        <v>201</v>
      </c>
      <c r="C122" s="84" t="s">
        <v>127</v>
      </c>
      <c r="D122" s="29" t="s">
        <v>115</v>
      </c>
      <c r="E122" s="29" t="s">
        <v>281</v>
      </c>
      <c r="F122" s="28"/>
      <c r="G122" s="58" t="s">
        <v>429</v>
      </c>
      <c r="H122" s="121">
        <v>187200</v>
      </c>
      <c r="I122" s="39">
        <v>187200</v>
      </c>
    </row>
    <row r="123" spans="1:9" s="3" customFormat="1" ht="57.75">
      <c r="A123" s="127" t="s">
        <v>425</v>
      </c>
      <c r="B123" s="29" t="s">
        <v>201</v>
      </c>
      <c r="C123" s="84" t="s">
        <v>127</v>
      </c>
      <c r="D123" s="29" t="s">
        <v>115</v>
      </c>
      <c r="E123" s="29" t="s">
        <v>418</v>
      </c>
      <c r="F123" s="28"/>
      <c r="G123" s="58"/>
      <c r="H123" s="120">
        <f>H124</f>
        <v>42000</v>
      </c>
      <c r="I123" s="30">
        <f>I124</f>
        <v>42000</v>
      </c>
    </row>
    <row r="124" spans="1:9" s="3" customFormat="1" ht="15.75">
      <c r="A124" s="112" t="s">
        <v>312</v>
      </c>
      <c r="B124" s="29" t="s">
        <v>201</v>
      </c>
      <c r="C124" s="84" t="s">
        <v>127</v>
      </c>
      <c r="D124" s="29" t="s">
        <v>115</v>
      </c>
      <c r="E124" s="29" t="s">
        <v>418</v>
      </c>
      <c r="F124" s="28"/>
      <c r="G124" s="58" t="s">
        <v>313</v>
      </c>
      <c r="H124" s="120">
        <v>42000</v>
      </c>
      <c r="I124" s="50">
        <v>42000</v>
      </c>
    </row>
    <row r="125" spans="1:9" s="3" customFormat="1" ht="15.75">
      <c r="A125" s="109" t="s">
        <v>83</v>
      </c>
      <c r="B125" s="29" t="s">
        <v>201</v>
      </c>
      <c r="C125" s="84" t="s">
        <v>127</v>
      </c>
      <c r="D125" s="29" t="s">
        <v>115</v>
      </c>
      <c r="E125" s="29" t="s">
        <v>84</v>
      </c>
      <c r="F125" s="28"/>
      <c r="G125" s="58"/>
      <c r="H125" s="120">
        <f>H126</f>
        <v>17029.899999999998</v>
      </c>
      <c r="I125" s="50"/>
    </row>
    <row r="126" spans="1:9" s="3" customFormat="1" ht="43.5">
      <c r="A126" s="228" t="s">
        <v>255</v>
      </c>
      <c r="B126" s="29" t="s">
        <v>201</v>
      </c>
      <c r="C126" s="153" t="s">
        <v>127</v>
      </c>
      <c r="D126" s="91" t="s">
        <v>115</v>
      </c>
      <c r="E126" s="38" t="s">
        <v>213</v>
      </c>
      <c r="F126" s="28"/>
      <c r="G126" s="58"/>
      <c r="H126" s="121">
        <f>H127+H128</f>
        <v>17029.899999999998</v>
      </c>
      <c r="I126" s="50"/>
    </row>
    <row r="127" spans="1:9" s="3" customFormat="1" ht="15.75">
      <c r="A127" s="112" t="s">
        <v>94</v>
      </c>
      <c r="B127" s="91" t="s">
        <v>201</v>
      </c>
      <c r="C127" s="29" t="s">
        <v>127</v>
      </c>
      <c r="D127" s="84" t="s">
        <v>115</v>
      </c>
      <c r="E127" s="38" t="s">
        <v>213</v>
      </c>
      <c r="F127" s="28"/>
      <c r="G127" s="58" t="s">
        <v>158</v>
      </c>
      <c r="H127" s="121">
        <f>1947+(4000+201.7)-764.6</f>
        <v>5384.099999999999</v>
      </c>
      <c r="I127" s="30"/>
    </row>
    <row r="128" spans="1:9" s="3" customFormat="1" ht="15.75">
      <c r="A128" s="53" t="s">
        <v>131</v>
      </c>
      <c r="B128" s="84" t="s">
        <v>201</v>
      </c>
      <c r="C128" s="29" t="s">
        <v>127</v>
      </c>
      <c r="D128" s="84" t="s">
        <v>115</v>
      </c>
      <c r="E128" s="29" t="s">
        <v>213</v>
      </c>
      <c r="F128" s="28"/>
      <c r="G128" s="58" t="s">
        <v>44</v>
      </c>
      <c r="H128" s="121">
        <f>H129+H130+H131</f>
        <v>11645.8</v>
      </c>
      <c r="I128" s="30"/>
    </row>
    <row r="129" spans="1:9" s="3" customFormat="1" ht="61.5" customHeight="1">
      <c r="A129" s="324" t="s">
        <v>275</v>
      </c>
      <c r="B129" s="84" t="s">
        <v>201</v>
      </c>
      <c r="C129" s="29" t="s">
        <v>127</v>
      </c>
      <c r="D129" s="84" t="s">
        <v>115</v>
      </c>
      <c r="E129" s="29" t="s">
        <v>213</v>
      </c>
      <c r="F129" s="28"/>
      <c r="G129" s="58" t="s">
        <v>44</v>
      </c>
      <c r="H129" s="121">
        <f>5000-4000</f>
        <v>1000</v>
      </c>
      <c r="I129" s="30"/>
    </row>
    <row r="130" spans="1:9" s="3" customFormat="1" ht="61.5" customHeight="1">
      <c r="A130" s="259" t="s">
        <v>415</v>
      </c>
      <c r="B130" s="91" t="s">
        <v>201</v>
      </c>
      <c r="C130" s="49" t="s">
        <v>127</v>
      </c>
      <c r="D130" s="91" t="s">
        <v>115</v>
      </c>
      <c r="E130" s="29" t="s">
        <v>213</v>
      </c>
      <c r="F130" s="48"/>
      <c r="G130" s="132" t="s">
        <v>44</v>
      </c>
      <c r="H130" s="120">
        <f>764.6-118.8</f>
        <v>645.8000000000001</v>
      </c>
      <c r="I130" s="50"/>
    </row>
    <row r="131" spans="1:9" s="3" customFormat="1" ht="36.75" customHeight="1">
      <c r="A131" s="259" t="s">
        <v>448</v>
      </c>
      <c r="B131" s="91" t="s">
        <v>201</v>
      </c>
      <c r="C131" s="49" t="s">
        <v>127</v>
      </c>
      <c r="D131" s="91" t="s">
        <v>115</v>
      </c>
      <c r="E131" s="63" t="s">
        <v>213</v>
      </c>
      <c r="F131" s="48"/>
      <c r="G131" s="105" t="s">
        <v>44</v>
      </c>
      <c r="H131" s="170">
        <v>10000</v>
      </c>
      <c r="I131" s="39"/>
    </row>
    <row r="132" spans="1:9" ht="18.75" customHeight="1">
      <c r="A132" s="53" t="s">
        <v>86</v>
      </c>
      <c r="B132" s="85" t="s">
        <v>201</v>
      </c>
      <c r="C132" s="33" t="s">
        <v>127</v>
      </c>
      <c r="D132" s="85" t="s">
        <v>119</v>
      </c>
      <c r="E132" s="33"/>
      <c r="F132" s="32"/>
      <c r="G132" s="99"/>
      <c r="H132" s="169">
        <f>H138+H133</f>
        <v>71445</v>
      </c>
      <c r="I132" s="34">
        <f>I138+I133</f>
        <v>2840</v>
      </c>
    </row>
    <row r="133" spans="1:9" ht="18.75" customHeight="1">
      <c r="A133" s="109" t="s">
        <v>86</v>
      </c>
      <c r="B133" s="84" t="s">
        <v>201</v>
      </c>
      <c r="C133" s="29" t="s">
        <v>127</v>
      </c>
      <c r="D133" s="84" t="s">
        <v>119</v>
      </c>
      <c r="E133" s="38" t="s">
        <v>449</v>
      </c>
      <c r="F133" s="37" t="s">
        <v>36</v>
      </c>
      <c r="G133" s="251"/>
      <c r="H133" s="175">
        <f>H135+H137</f>
        <v>2840</v>
      </c>
      <c r="I133" s="68">
        <f>I135+I137</f>
        <v>2840</v>
      </c>
    </row>
    <row r="134" spans="1:9" ht="18.75" customHeight="1">
      <c r="A134" s="109" t="s">
        <v>450</v>
      </c>
      <c r="B134" s="84" t="s">
        <v>201</v>
      </c>
      <c r="C134" s="29" t="s">
        <v>127</v>
      </c>
      <c r="D134" s="84" t="s">
        <v>119</v>
      </c>
      <c r="E134" s="38" t="s">
        <v>451</v>
      </c>
      <c r="F134" s="37" t="s">
        <v>36</v>
      </c>
      <c r="G134" s="99"/>
      <c r="H134" s="171">
        <f>H135</f>
        <v>140</v>
      </c>
      <c r="I134" s="30">
        <f>I135</f>
        <v>140</v>
      </c>
    </row>
    <row r="135" spans="1:9" ht="18.75" customHeight="1">
      <c r="A135" s="109" t="s">
        <v>94</v>
      </c>
      <c r="B135" s="84" t="s">
        <v>201</v>
      </c>
      <c r="C135" s="29" t="s">
        <v>127</v>
      </c>
      <c r="D135" s="84" t="s">
        <v>119</v>
      </c>
      <c r="E135" s="38" t="s">
        <v>451</v>
      </c>
      <c r="F135" s="37" t="s">
        <v>158</v>
      </c>
      <c r="G135" s="58" t="s">
        <v>158</v>
      </c>
      <c r="H135" s="171">
        <v>140</v>
      </c>
      <c r="I135" s="30">
        <v>140</v>
      </c>
    </row>
    <row r="136" spans="1:9" ht="33.75" customHeight="1">
      <c r="A136" s="113" t="s">
        <v>452</v>
      </c>
      <c r="B136" s="84" t="s">
        <v>201</v>
      </c>
      <c r="C136" s="29" t="s">
        <v>127</v>
      </c>
      <c r="D136" s="84" t="s">
        <v>119</v>
      </c>
      <c r="E136" s="38" t="s">
        <v>453</v>
      </c>
      <c r="F136" s="65"/>
      <c r="G136" s="99"/>
      <c r="H136" s="171">
        <f>H137</f>
        <v>2700</v>
      </c>
      <c r="I136" s="30">
        <f>I137</f>
        <v>2700</v>
      </c>
    </row>
    <row r="137" spans="1:9" ht="18.75" customHeight="1">
      <c r="A137" s="109" t="s">
        <v>94</v>
      </c>
      <c r="B137" s="84" t="s">
        <v>201</v>
      </c>
      <c r="C137" s="29" t="s">
        <v>127</v>
      </c>
      <c r="D137" s="84" t="s">
        <v>119</v>
      </c>
      <c r="E137" s="38" t="s">
        <v>453</v>
      </c>
      <c r="F137" s="65"/>
      <c r="G137" s="132" t="s">
        <v>158</v>
      </c>
      <c r="H137" s="175">
        <v>2700</v>
      </c>
      <c r="I137" s="68">
        <v>2700</v>
      </c>
    </row>
    <row r="138" spans="1:9" ht="15.75">
      <c r="A138" s="109" t="s">
        <v>83</v>
      </c>
      <c r="B138" s="84" t="s">
        <v>201</v>
      </c>
      <c r="C138" s="29" t="s">
        <v>127</v>
      </c>
      <c r="D138" s="84" t="s">
        <v>119</v>
      </c>
      <c r="E138" s="38" t="s">
        <v>84</v>
      </c>
      <c r="F138" s="37"/>
      <c r="G138" s="58"/>
      <c r="H138" s="174">
        <f>H139+H141</f>
        <v>68605</v>
      </c>
      <c r="I138" s="30">
        <f>I139</f>
        <v>0</v>
      </c>
    </row>
    <row r="139" spans="1:9" s="3" customFormat="1" ht="33" customHeight="1">
      <c r="A139" s="110" t="s">
        <v>261</v>
      </c>
      <c r="B139" s="84" t="s">
        <v>201</v>
      </c>
      <c r="C139" s="29" t="s">
        <v>127</v>
      </c>
      <c r="D139" s="84" t="s">
        <v>119</v>
      </c>
      <c r="E139" s="38" t="s">
        <v>264</v>
      </c>
      <c r="F139" s="28"/>
      <c r="G139" s="58"/>
      <c r="H139" s="171">
        <f>H140</f>
        <v>64485</v>
      </c>
      <c r="I139" s="50">
        <f>I140</f>
        <v>0</v>
      </c>
    </row>
    <row r="140" spans="1:9" ht="15.75">
      <c r="A140" s="112" t="s">
        <v>94</v>
      </c>
      <c r="B140" s="84" t="s">
        <v>201</v>
      </c>
      <c r="C140" s="29" t="s">
        <v>127</v>
      </c>
      <c r="D140" s="84" t="s">
        <v>119</v>
      </c>
      <c r="E140" s="38" t="s">
        <v>264</v>
      </c>
      <c r="F140" s="28"/>
      <c r="G140" s="58" t="s">
        <v>158</v>
      </c>
      <c r="H140" s="171">
        <f>57705-10000-2900+9000+9000-120+2000-200</f>
        <v>64485</v>
      </c>
      <c r="I140" s="47"/>
    </row>
    <row r="141" spans="1:9" ht="50.25" customHeight="1">
      <c r="A141" s="236" t="s">
        <v>273</v>
      </c>
      <c r="B141" s="84" t="s">
        <v>201</v>
      </c>
      <c r="C141" s="29" t="s">
        <v>127</v>
      </c>
      <c r="D141" s="84" t="s">
        <v>119</v>
      </c>
      <c r="E141" s="38" t="s">
        <v>274</v>
      </c>
      <c r="F141" s="28"/>
      <c r="G141" s="58"/>
      <c r="H141" s="171">
        <f>H142</f>
        <v>4120</v>
      </c>
      <c r="I141" s="47"/>
    </row>
    <row r="142" spans="1:9" ht="15.75">
      <c r="A142" s="112" t="s">
        <v>94</v>
      </c>
      <c r="B142" s="84" t="s">
        <v>201</v>
      </c>
      <c r="C142" s="29" t="s">
        <v>127</v>
      </c>
      <c r="D142" s="84" t="s">
        <v>119</v>
      </c>
      <c r="E142" s="38" t="s">
        <v>274</v>
      </c>
      <c r="F142" s="28"/>
      <c r="G142" s="58" t="s">
        <v>158</v>
      </c>
      <c r="H142" s="171">
        <f>10000-9000+1120+2000</f>
        <v>4120</v>
      </c>
      <c r="I142" s="47"/>
    </row>
    <row r="143" spans="1:9" ht="15.75">
      <c r="A143" s="53" t="s">
        <v>31</v>
      </c>
      <c r="B143" s="85" t="s">
        <v>201</v>
      </c>
      <c r="C143" s="33" t="s">
        <v>130</v>
      </c>
      <c r="D143" s="85"/>
      <c r="E143" s="33"/>
      <c r="F143" s="32"/>
      <c r="G143" s="99"/>
      <c r="H143" s="169">
        <f aca="true" t="shared" si="6" ref="H143:I145">H144</f>
        <v>860</v>
      </c>
      <c r="I143" s="34">
        <f t="shared" si="6"/>
        <v>0</v>
      </c>
    </row>
    <row r="144" spans="1:9" ht="15.75">
      <c r="A144" s="15" t="s">
        <v>32</v>
      </c>
      <c r="B144" s="82" t="s">
        <v>201</v>
      </c>
      <c r="C144" s="59" t="s">
        <v>130</v>
      </c>
      <c r="D144" s="82" t="s">
        <v>127</v>
      </c>
      <c r="E144" s="33"/>
      <c r="F144" s="32"/>
      <c r="G144" s="99"/>
      <c r="H144" s="173">
        <f t="shared" si="6"/>
        <v>860</v>
      </c>
      <c r="I144" s="61">
        <f t="shared" si="6"/>
        <v>0</v>
      </c>
    </row>
    <row r="145" spans="1:9" ht="15.75">
      <c r="A145" s="109" t="s">
        <v>83</v>
      </c>
      <c r="B145" s="84" t="s">
        <v>201</v>
      </c>
      <c r="C145" s="29" t="s">
        <v>130</v>
      </c>
      <c r="D145" s="84" t="s">
        <v>127</v>
      </c>
      <c r="E145" s="29" t="s">
        <v>84</v>
      </c>
      <c r="F145" s="28"/>
      <c r="G145" s="58"/>
      <c r="H145" s="170">
        <f t="shared" si="6"/>
        <v>860</v>
      </c>
      <c r="I145" s="50">
        <f t="shared" si="6"/>
        <v>0</v>
      </c>
    </row>
    <row r="146" spans="1:9" ht="60.75" customHeight="1">
      <c r="A146" s="159" t="s">
        <v>311</v>
      </c>
      <c r="B146" s="89" t="s">
        <v>201</v>
      </c>
      <c r="C146" s="38" t="s">
        <v>130</v>
      </c>
      <c r="D146" s="89" t="s">
        <v>127</v>
      </c>
      <c r="E146" s="29" t="s">
        <v>265</v>
      </c>
      <c r="F146" s="37"/>
      <c r="G146" s="58"/>
      <c r="H146" s="174">
        <f>H147</f>
        <v>860</v>
      </c>
      <c r="I146" s="39">
        <f>I147</f>
        <v>0</v>
      </c>
    </row>
    <row r="147" spans="1:9" ht="15.75">
      <c r="A147" s="108" t="s">
        <v>94</v>
      </c>
      <c r="B147" s="84" t="s">
        <v>201</v>
      </c>
      <c r="C147" s="29" t="s">
        <v>130</v>
      </c>
      <c r="D147" s="84" t="s">
        <v>127</v>
      </c>
      <c r="E147" s="29" t="s">
        <v>265</v>
      </c>
      <c r="F147" s="28"/>
      <c r="G147" s="58" t="s">
        <v>158</v>
      </c>
      <c r="H147" s="174">
        <f>360+500</f>
        <v>860</v>
      </c>
      <c r="I147" s="118"/>
    </row>
    <row r="148" spans="1:9" ht="15.75">
      <c r="A148" s="53" t="s">
        <v>4</v>
      </c>
      <c r="B148" s="82" t="s">
        <v>201</v>
      </c>
      <c r="C148" s="59" t="s">
        <v>122</v>
      </c>
      <c r="D148" s="91"/>
      <c r="E148" s="49"/>
      <c r="F148" s="48"/>
      <c r="G148" s="87"/>
      <c r="H148" s="164">
        <f>H163+H159+H149</f>
        <v>95945.5</v>
      </c>
      <c r="I148" s="34">
        <f>I163+I159+I149</f>
        <v>60750</v>
      </c>
    </row>
    <row r="149" spans="1:9" ht="15.75">
      <c r="A149" s="15" t="s">
        <v>5</v>
      </c>
      <c r="B149" s="82" t="s">
        <v>201</v>
      </c>
      <c r="C149" s="59" t="s">
        <v>122</v>
      </c>
      <c r="D149" s="59" t="s">
        <v>114</v>
      </c>
      <c r="E149" s="49"/>
      <c r="F149" s="48"/>
      <c r="G149" s="88"/>
      <c r="H149" s="264">
        <f>H150+H154</f>
        <v>95250</v>
      </c>
      <c r="I149" s="61">
        <f aca="true" t="shared" si="7" ref="H149:I152">I150</f>
        <v>60750</v>
      </c>
    </row>
    <row r="150" spans="1:9" ht="15.75">
      <c r="A150" s="112" t="s">
        <v>230</v>
      </c>
      <c r="B150" s="91" t="s">
        <v>201</v>
      </c>
      <c r="C150" s="49" t="s">
        <v>122</v>
      </c>
      <c r="D150" s="91" t="s">
        <v>114</v>
      </c>
      <c r="E150" s="49" t="s">
        <v>229</v>
      </c>
      <c r="F150" s="48"/>
      <c r="G150" s="88"/>
      <c r="H150" s="120">
        <f t="shared" si="7"/>
        <v>60750</v>
      </c>
      <c r="I150" s="50">
        <f t="shared" si="7"/>
        <v>60750</v>
      </c>
    </row>
    <row r="151" spans="1:9" ht="43.5">
      <c r="A151" s="111" t="s">
        <v>296</v>
      </c>
      <c r="B151" s="91" t="s">
        <v>201</v>
      </c>
      <c r="C151" s="49" t="s">
        <v>122</v>
      </c>
      <c r="D151" s="91" t="s">
        <v>114</v>
      </c>
      <c r="E151" s="49" t="s">
        <v>295</v>
      </c>
      <c r="F151" s="48"/>
      <c r="G151" s="309"/>
      <c r="H151" s="120">
        <f t="shared" si="7"/>
        <v>60750</v>
      </c>
      <c r="I151" s="50">
        <f t="shared" si="7"/>
        <v>60750</v>
      </c>
    </row>
    <row r="152" spans="1:9" ht="15.75">
      <c r="A152" s="110" t="s">
        <v>297</v>
      </c>
      <c r="B152" s="91" t="s">
        <v>201</v>
      </c>
      <c r="C152" s="49" t="s">
        <v>122</v>
      </c>
      <c r="D152" s="91" t="s">
        <v>114</v>
      </c>
      <c r="E152" s="49" t="s">
        <v>295</v>
      </c>
      <c r="F152" s="48"/>
      <c r="G152" s="58"/>
      <c r="H152" s="170">
        <f t="shared" si="7"/>
        <v>60750</v>
      </c>
      <c r="I152" s="50">
        <f t="shared" si="7"/>
        <v>60750</v>
      </c>
    </row>
    <row r="153" spans="1:9" ht="44.25">
      <c r="A153" s="71" t="s">
        <v>445</v>
      </c>
      <c r="B153" s="91" t="s">
        <v>201</v>
      </c>
      <c r="C153" s="49" t="s">
        <v>122</v>
      </c>
      <c r="D153" s="91" t="s">
        <v>114</v>
      </c>
      <c r="E153" s="49" t="s">
        <v>295</v>
      </c>
      <c r="F153" s="48"/>
      <c r="G153" s="58" t="s">
        <v>429</v>
      </c>
      <c r="H153" s="170">
        <v>60750</v>
      </c>
      <c r="I153" s="50">
        <v>60750</v>
      </c>
    </row>
    <row r="154" spans="1:9" ht="15.75">
      <c r="A154" s="108" t="s">
        <v>83</v>
      </c>
      <c r="B154" s="91" t="s">
        <v>201</v>
      </c>
      <c r="C154" s="49" t="s">
        <v>122</v>
      </c>
      <c r="D154" s="91" t="s">
        <v>114</v>
      </c>
      <c r="E154" s="38" t="s">
        <v>84</v>
      </c>
      <c r="F154" s="48"/>
      <c r="G154" s="58"/>
      <c r="H154" s="170">
        <f>H155</f>
        <v>34500</v>
      </c>
      <c r="I154" s="50"/>
    </row>
    <row r="155" spans="1:9" ht="29.25">
      <c r="A155" s="167" t="s">
        <v>302</v>
      </c>
      <c r="B155" s="140" t="s">
        <v>201</v>
      </c>
      <c r="C155" s="137" t="s">
        <v>122</v>
      </c>
      <c r="D155" s="140" t="s">
        <v>114</v>
      </c>
      <c r="E155" s="29" t="s">
        <v>267</v>
      </c>
      <c r="F155" s="48"/>
      <c r="G155" s="58"/>
      <c r="H155" s="170">
        <f>H156+H157+H158</f>
        <v>34500</v>
      </c>
      <c r="I155" s="50"/>
    </row>
    <row r="156" spans="1:9" ht="44.25">
      <c r="A156" s="71" t="s">
        <v>445</v>
      </c>
      <c r="B156" s="140" t="s">
        <v>201</v>
      </c>
      <c r="C156" s="137" t="s">
        <v>122</v>
      </c>
      <c r="D156" s="140" t="s">
        <v>114</v>
      </c>
      <c r="E156" s="29" t="s">
        <v>267</v>
      </c>
      <c r="F156" s="138"/>
      <c r="G156" s="144" t="s">
        <v>44</v>
      </c>
      <c r="H156" s="170">
        <f>6750+773.1+42+14434.9</f>
        <v>22000</v>
      </c>
      <c r="I156" s="50"/>
    </row>
    <row r="157" spans="1:9" ht="44.25">
      <c r="A157" s="71" t="s">
        <v>446</v>
      </c>
      <c r="B157" s="140" t="s">
        <v>201</v>
      </c>
      <c r="C157" s="137" t="s">
        <v>122</v>
      </c>
      <c r="D157" s="140" t="s">
        <v>114</v>
      </c>
      <c r="E157" s="29" t="s">
        <v>267</v>
      </c>
      <c r="F157" s="138"/>
      <c r="G157" s="144" t="s">
        <v>44</v>
      </c>
      <c r="H157" s="170">
        <v>10000</v>
      </c>
      <c r="I157" s="50"/>
    </row>
    <row r="158" spans="1:9" ht="58.5">
      <c r="A158" s="71" t="s">
        <v>470</v>
      </c>
      <c r="B158" s="140" t="s">
        <v>201</v>
      </c>
      <c r="C158" s="137" t="s">
        <v>122</v>
      </c>
      <c r="D158" s="140" t="s">
        <v>114</v>
      </c>
      <c r="E158" s="29" t="s">
        <v>267</v>
      </c>
      <c r="F158" s="242"/>
      <c r="G158" s="144" t="s">
        <v>44</v>
      </c>
      <c r="H158" s="170">
        <v>2500</v>
      </c>
      <c r="I158" s="50"/>
    </row>
    <row r="159" spans="1:9" ht="15.75">
      <c r="A159" s="108" t="s">
        <v>20</v>
      </c>
      <c r="B159" s="91" t="s">
        <v>201</v>
      </c>
      <c r="C159" s="49" t="s">
        <v>122</v>
      </c>
      <c r="D159" s="91" t="s">
        <v>122</v>
      </c>
      <c r="E159" s="49"/>
      <c r="F159" s="48"/>
      <c r="G159" s="58"/>
      <c r="H159" s="170">
        <f>H160</f>
        <v>95.5</v>
      </c>
      <c r="I159" s="117"/>
    </row>
    <row r="160" spans="1:9" ht="15.75">
      <c r="A160" s="108" t="s">
        <v>83</v>
      </c>
      <c r="B160" s="89" t="s">
        <v>201</v>
      </c>
      <c r="C160" s="91" t="s">
        <v>122</v>
      </c>
      <c r="D160" s="89" t="s">
        <v>122</v>
      </c>
      <c r="E160" s="38" t="s">
        <v>84</v>
      </c>
      <c r="F160" s="43"/>
      <c r="G160" s="132"/>
      <c r="H160" s="170">
        <f>H161</f>
        <v>95.5</v>
      </c>
      <c r="I160" s="117"/>
    </row>
    <row r="161" spans="1:9" ht="29.25">
      <c r="A161" s="223" t="s">
        <v>475</v>
      </c>
      <c r="B161" s="89" t="s">
        <v>201</v>
      </c>
      <c r="C161" s="91" t="s">
        <v>122</v>
      </c>
      <c r="D161" s="89" t="s">
        <v>122</v>
      </c>
      <c r="E161" s="29" t="s">
        <v>266</v>
      </c>
      <c r="F161" s="43"/>
      <c r="G161" s="58"/>
      <c r="H161" s="170">
        <f>H162</f>
        <v>95.5</v>
      </c>
      <c r="I161" s="117"/>
    </row>
    <row r="162" spans="1:9" ht="15.75">
      <c r="A162" s="186" t="s">
        <v>152</v>
      </c>
      <c r="B162" s="89" t="s">
        <v>201</v>
      </c>
      <c r="C162" s="67" t="s">
        <v>122</v>
      </c>
      <c r="D162" s="89" t="s">
        <v>122</v>
      </c>
      <c r="E162" s="29" t="s">
        <v>266</v>
      </c>
      <c r="F162" s="43"/>
      <c r="G162" s="58" t="s">
        <v>158</v>
      </c>
      <c r="H162" s="170">
        <v>95.5</v>
      </c>
      <c r="I162" s="117"/>
    </row>
    <row r="163" spans="1:9" ht="15.75">
      <c r="A163" s="53" t="s">
        <v>23</v>
      </c>
      <c r="B163" s="85" t="s">
        <v>201</v>
      </c>
      <c r="C163" s="33" t="s">
        <v>122</v>
      </c>
      <c r="D163" s="85" t="s">
        <v>120</v>
      </c>
      <c r="E163" s="49"/>
      <c r="F163" s="48"/>
      <c r="G163" s="132"/>
      <c r="H163" s="170">
        <f>H164</f>
        <v>600</v>
      </c>
      <c r="I163" s="117"/>
    </row>
    <row r="164" spans="1:9" ht="15.75">
      <c r="A164" s="108" t="s">
        <v>83</v>
      </c>
      <c r="B164" s="89" t="s">
        <v>201</v>
      </c>
      <c r="C164" s="29" t="s">
        <v>122</v>
      </c>
      <c r="D164" s="84" t="s">
        <v>120</v>
      </c>
      <c r="E164" s="38" t="s">
        <v>84</v>
      </c>
      <c r="F164" s="37"/>
      <c r="G164" s="58"/>
      <c r="H164" s="170">
        <f>H165</f>
        <v>600</v>
      </c>
      <c r="I164" s="117"/>
    </row>
    <row r="165" spans="1:9" ht="29.25">
      <c r="A165" s="167" t="s">
        <v>302</v>
      </c>
      <c r="B165" s="140" t="s">
        <v>201</v>
      </c>
      <c r="C165" s="137" t="s">
        <v>122</v>
      </c>
      <c r="D165" s="140" t="s">
        <v>120</v>
      </c>
      <c r="E165" s="29" t="s">
        <v>267</v>
      </c>
      <c r="F165" s="138"/>
      <c r="G165" s="144"/>
      <c r="H165" s="171">
        <f>H166</f>
        <v>600</v>
      </c>
      <c r="I165" s="47"/>
    </row>
    <row r="166" spans="1:9" ht="15.75">
      <c r="A166" s="108" t="s">
        <v>94</v>
      </c>
      <c r="B166" s="140" t="s">
        <v>201</v>
      </c>
      <c r="C166" s="137" t="s">
        <v>122</v>
      </c>
      <c r="D166" s="140" t="s">
        <v>120</v>
      </c>
      <c r="E166" s="29" t="s">
        <v>267</v>
      </c>
      <c r="F166" s="138"/>
      <c r="G166" s="144" t="s">
        <v>158</v>
      </c>
      <c r="H166" s="170">
        <v>600</v>
      </c>
      <c r="I166" s="117"/>
    </row>
    <row r="167" spans="1:9" ht="15.75">
      <c r="A167" s="53" t="s">
        <v>226</v>
      </c>
      <c r="B167" s="243" t="s">
        <v>201</v>
      </c>
      <c r="C167" s="244" t="s">
        <v>123</v>
      </c>
      <c r="D167" s="243"/>
      <c r="E167" s="59"/>
      <c r="F167" s="245"/>
      <c r="G167" s="246"/>
      <c r="H167" s="173">
        <f>H168</f>
        <v>559.7</v>
      </c>
      <c r="I167" s="247"/>
    </row>
    <row r="168" spans="1:9" ht="15.75">
      <c r="A168" s="108" t="s">
        <v>228</v>
      </c>
      <c r="B168" s="84" t="s">
        <v>201</v>
      </c>
      <c r="C168" s="84" t="s">
        <v>123</v>
      </c>
      <c r="D168" s="84" t="s">
        <v>116</v>
      </c>
      <c r="E168" s="49"/>
      <c r="F168" s="242"/>
      <c r="G168" s="248"/>
      <c r="H168" s="170">
        <f>H169</f>
        <v>559.7</v>
      </c>
      <c r="I168" s="117"/>
    </row>
    <row r="169" spans="1:9" ht="29.25">
      <c r="A169" s="110" t="s">
        <v>214</v>
      </c>
      <c r="B169" s="84" t="s">
        <v>201</v>
      </c>
      <c r="C169" s="89" t="s">
        <v>123</v>
      </c>
      <c r="D169" s="89" t="s">
        <v>116</v>
      </c>
      <c r="E169" s="29" t="s">
        <v>268</v>
      </c>
      <c r="F169" s="37"/>
      <c r="G169" s="58"/>
      <c r="H169" s="170">
        <f>H170</f>
        <v>559.7</v>
      </c>
      <c r="I169" s="117"/>
    </row>
    <row r="170" spans="1:9" ht="15.75">
      <c r="A170" s="186" t="s">
        <v>152</v>
      </c>
      <c r="B170" s="84" t="s">
        <v>201</v>
      </c>
      <c r="C170" s="84" t="s">
        <v>123</v>
      </c>
      <c r="D170" s="84" t="s">
        <v>116</v>
      </c>
      <c r="E170" s="29" t="s">
        <v>268</v>
      </c>
      <c r="F170" s="28"/>
      <c r="G170" s="132" t="s">
        <v>158</v>
      </c>
      <c r="H170" s="175">
        <f>47.7+212+300</f>
        <v>559.7</v>
      </c>
      <c r="I170" s="126"/>
    </row>
    <row r="171" spans="1:9" ht="15.75">
      <c r="A171" s="15" t="s">
        <v>198</v>
      </c>
      <c r="B171" s="82" t="s">
        <v>201</v>
      </c>
      <c r="C171" s="59" t="s">
        <v>120</v>
      </c>
      <c r="D171" s="82"/>
      <c r="E171" s="59"/>
      <c r="F171" s="36"/>
      <c r="G171" s="181"/>
      <c r="H171" s="164">
        <f>H172+H191+H202+H208+H219</f>
        <v>815376</v>
      </c>
      <c r="I171" s="34">
        <f>I172+I191+I202+I208+I219</f>
        <v>807907.4</v>
      </c>
    </row>
    <row r="172" spans="1:9" ht="15.75">
      <c r="A172" s="15" t="s">
        <v>141</v>
      </c>
      <c r="B172" s="82" t="s">
        <v>201</v>
      </c>
      <c r="C172" s="59" t="s">
        <v>120</v>
      </c>
      <c r="D172" s="82" t="s">
        <v>114</v>
      </c>
      <c r="E172" s="59"/>
      <c r="F172" s="36"/>
      <c r="G172" s="181"/>
      <c r="H172" s="264">
        <f>H173+H184</f>
        <v>337242.8</v>
      </c>
      <c r="I172" s="61">
        <f>I173+I184</f>
        <v>330162.3</v>
      </c>
    </row>
    <row r="173" spans="1:9" ht="15.75">
      <c r="A173" s="108" t="s">
        <v>191</v>
      </c>
      <c r="B173" s="91" t="s">
        <v>201</v>
      </c>
      <c r="C173" s="49" t="s">
        <v>120</v>
      </c>
      <c r="D173" s="84" t="s">
        <v>114</v>
      </c>
      <c r="E173" s="29" t="s">
        <v>30</v>
      </c>
      <c r="F173" s="28"/>
      <c r="G173" s="58"/>
      <c r="H173" s="121">
        <f>H174+H178+H182+H176+H180+H183</f>
        <v>334593.2</v>
      </c>
      <c r="I173" s="30">
        <f>I174+I178+I182+I176+I180+I183</f>
        <v>327512.7</v>
      </c>
    </row>
    <row r="174" spans="1:9" ht="49.5" customHeight="1">
      <c r="A174" s="113" t="s">
        <v>341</v>
      </c>
      <c r="B174" s="91" t="s">
        <v>201</v>
      </c>
      <c r="C174" s="49" t="s">
        <v>120</v>
      </c>
      <c r="D174" s="84" t="s">
        <v>114</v>
      </c>
      <c r="E174" s="29" t="s">
        <v>342</v>
      </c>
      <c r="F174" s="28"/>
      <c r="G174" s="58"/>
      <c r="H174" s="121">
        <f>H175</f>
        <v>84852.90000000002</v>
      </c>
      <c r="I174" s="50">
        <f>I175</f>
        <v>84852.90000000002</v>
      </c>
    </row>
    <row r="175" spans="1:9" ht="15.75">
      <c r="A175" s="270" t="s">
        <v>326</v>
      </c>
      <c r="B175" s="91" t="s">
        <v>201</v>
      </c>
      <c r="C175" s="49" t="s">
        <v>120</v>
      </c>
      <c r="D175" s="84" t="s">
        <v>114</v>
      </c>
      <c r="E175" s="29" t="s">
        <v>342</v>
      </c>
      <c r="F175" s="28"/>
      <c r="G175" s="132" t="s">
        <v>323</v>
      </c>
      <c r="H175" s="121">
        <f>102852.9+150000+952+2355+13727.8-2355-13727.8-952-168000</f>
        <v>84852.90000000002</v>
      </c>
      <c r="I175" s="50">
        <f>102852.9+150000+952+2355+13727.8-2355-13727.8-952-168000</f>
        <v>84852.90000000002</v>
      </c>
    </row>
    <row r="176" spans="1:9" ht="63.75" customHeight="1">
      <c r="A176" s="201" t="s">
        <v>359</v>
      </c>
      <c r="B176" s="91" t="s">
        <v>201</v>
      </c>
      <c r="C176" s="49" t="s">
        <v>120</v>
      </c>
      <c r="D176" s="84" t="s">
        <v>114</v>
      </c>
      <c r="E176" s="29" t="s">
        <v>358</v>
      </c>
      <c r="F176" s="28"/>
      <c r="G176" s="132"/>
      <c r="H176" s="121">
        <f>H177</f>
        <v>1019.5</v>
      </c>
      <c r="I176" s="50">
        <f>I177</f>
        <v>952</v>
      </c>
    </row>
    <row r="177" spans="1:9" ht="15.75">
      <c r="A177" s="270" t="s">
        <v>326</v>
      </c>
      <c r="B177" s="91" t="s">
        <v>201</v>
      </c>
      <c r="C177" s="49" t="s">
        <v>120</v>
      </c>
      <c r="D177" s="84" t="s">
        <v>114</v>
      </c>
      <c r="E177" s="29" t="s">
        <v>358</v>
      </c>
      <c r="F177" s="28"/>
      <c r="G177" s="132" t="s">
        <v>323</v>
      </c>
      <c r="H177" s="121">
        <f>952+67.5</f>
        <v>1019.5</v>
      </c>
      <c r="I177" s="50">
        <v>952</v>
      </c>
    </row>
    <row r="178" spans="1:9" ht="52.5" customHeight="1">
      <c r="A178" s="113" t="s">
        <v>350</v>
      </c>
      <c r="B178" s="91" t="s">
        <v>201</v>
      </c>
      <c r="C178" s="49" t="s">
        <v>120</v>
      </c>
      <c r="D178" s="84" t="s">
        <v>114</v>
      </c>
      <c r="E178" s="29" t="s">
        <v>347</v>
      </c>
      <c r="F178" s="28"/>
      <c r="G178" s="58"/>
      <c r="H178" s="121">
        <f>H179</f>
        <v>13727.8</v>
      </c>
      <c r="I178" s="30">
        <f>I179</f>
        <v>13727.8</v>
      </c>
    </row>
    <row r="179" spans="1:9" ht="15.75">
      <c r="A179" s="270" t="s">
        <v>326</v>
      </c>
      <c r="B179" s="91" t="s">
        <v>201</v>
      </c>
      <c r="C179" s="49" t="s">
        <v>120</v>
      </c>
      <c r="D179" s="84" t="s">
        <v>114</v>
      </c>
      <c r="E179" s="29" t="s">
        <v>347</v>
      </c>
      <c r="F179" s="28"/>
      <c r="G179" s="132" t="s">
        <v>323</v>
      </c>
      <c r="H179" s="121">
        <v>13727.8</v>
      </c>
      <c r="I179" s="30">
        <v>13727.8</v>
      </c>
    </row>
    <row r="180" spans="1:9" ht="43.5">
      <c r="A180" s="113" t="s">
        <v>361</v>
      </c>
      <c r="B180" s="91" t="s">
        <v>201</v>
      </c>
      <c r="C180" s="49" t="s">
        <v>120</v>
      </c>
      <c r="D180" s="84" t="s">
        <v>114</v>
      </c>
      <c r="E180" s="29" t="s">
        <v>360</v>
      </c>
      <c r="F180" s="28"/>
      <c r="G180" s="132"/>
      <c r="H180" s="121">
        <f>H181</f>
        <v>227980</v>
      </c>
      <c r="I180" s="30">
        <f>I181</f>
        <v>227980</v>
      </c>
    </row>
    <row r="181" spans="1:9" ht="15.75">
      <c r="A181" s="270" t="s">
        <v>326</v>
      </c>
      <c r="B181" s="91" t="s">
        <v>201</v>
      </c>
      <c r="C181" s="49" t="s">
        <v>120</v>
      </c>
      <c r="D181" s="84" t="s">
        <v>114</v>
      </c>
      <c r="E181" s="29" t="s">
        <v>360</v>
      </c>
      <c r="F181" s="28"/>
      <c r="G181" s="132" t="s">
        <v>323</v>
      </c>
      <c r="H181" s="121">
        <f>170355-2355+65480-231980+226480</f>
        <v>227980</v>
      </c>
      <c r="I181" s="30">
        <f>170355-2355+65480-231980+226480</f>
        <v>227980</v>
      </c>
    </row>
    <row r="182" spans="1:9" ht="15.75">
      <c r="A182" s="185" t="s">
        <v>155</v>
      </c>
      <c r="B182" s="91" t="s">
        <v>201</v>
      </c>
      <c r="C182" s="49" t="s">
        <v>120</v>
      </c>
      <c r="D182" s="84" t="s">
        <v>114</v>
      </c>
      <c r="E182" s="29" t="s">
        <v>370</v>
      </c>
      <c r="F182" s="28"/>
      <c r="G182" s="132" t="s">
        <v>156</v>
      </c>
      <c r="H182" s="121">
        <f>2355+1754.8+1344+915</f>
        <v>6368.8</v>
      </c>
      <c r="I182" s="39"/>
    </row>
    <row r="183" spans="1:9" ht="15.75">
      <c r="A183" s="185" t="s">
        <v>155</v>
      </c>
      <c r="B183" s="91" t="s">
        <v>201</v>
      </c>
      <c r="C183" s="49" t="s">
        <v>120</v>
      </c>
      <c r="D183" s="84" t="s">
        <v>114</v>
      </c>
      <c r="E183" s="29" t="s">
        <v>370</v>
      </c>
      <c r="F183" s="28"/>
      <c r="G183" s="132" t="s">
        <v>156</v>
      </c>
      <c r="H183" s="121">
        <v>644.2</v>
      </c>
      <c r="I183" s="39"/>
    </row>
    <row r="184" spans="1:9" ht="15.75">
      <c r="A184" s="103" t="s">
        <v>170</v>
      </c>
      <c r="B184" s="82" t="s">
        <v>201</v>
      </c>
      <c r="C184" s="59" t="s">
        <v>120</v>
      </c>
      <c r="D184" s="85" t="s">
        <v>114</v>
      </c>
      <c r="E184" s="33" t="s">
        <v>171</v>
      </c>
      <c r="F184" s="32"/>
      <c r="G184" s="99"/>
      <c r="H184" s="164">
        <f>H186+H188+H189</f>
        <v>2649.6</v>
      </c>
      <c r="I184" s="34">
        <f>I186+I188+I189</f>
        <v>2649.6</v>
      </c>
    </row>
    <row r="185" spans="1:9" ht="29.25">
      <c r="A185" s="113" t="s">
        <v>343</v>
      </c>
      <c r="B185" s="91" t="s">
        <v>201</v>
      </c>
      <c r="C185" s="49" t="s">
        <v>120</v>
      </c>
      <c r="D185" s="84" t="s">
        <v>114</v>
      </c>
      <c r="E185" s="29" t="s">
        <v>344</v>
      </c>
      <c r="F185" s="28"/>
      <c r="G185" s="58"/>
      <c r="H185" s="121">
        <f>H186</f>
        <v>2589.1</v>
      </c>
      <c r="I185" s="50">
        <f>I186</f>
        <v>2589.1</v>
      </c>
    </row>
    <row r="186" spans="1:9" ht="15.75">
      <c r="A186" s="270" t="s">
        <v>326</v>
      </c>
      <c r="B186" s="91" t="s">
        <v>201</v>
      </c>
      <c r="C186" s="49" t="s">
        <v>120</v>
      </c>
      <c r="D186" s="84" t="s">
        <v>114</v>
      </c>
      <c r="E186" s="29" t="s">
        <v>344</v>
      </c>
      <c r="F186" s="28"/>
      <c r="G186" s="132" t="s">
        <v>323</v>
      </c>
      <c r="H186" s="121">
        <f>2619.1-30</f>
        <v>2589.1</v>
      </c>
      <c r="I186" s="30">
        <f>2619.1-30</f>
        <v>2589.1</v>
      </c>
    </row>
    <row r="187" spans="1:9" ht="43.5">
      <c r="A187" s="113" t="s">
        <v>351</v>
      </c>
      <c r="B187" s="91" t="s">
        <v>201</v>
      </c>
      <c r="C187" s="49" t="s">
        <v>120</v>
      </c>
      <c r="D187" s="84" t="s">
        <v>114</v>
      </c>
      <c r="E187" s="29" t="s">
        <v>349</v>
      </c>
      <c r="F187" s="28"/>
      <c r="G187" s="58"/>
      <c r="H187" s="121">
        <f>H188</f>
        <v>30.5</v>
      </c>
      <c r="I187" s="30">
        <f>I188</f>
        <v>30.5</v>
      </c>
    </row>
    <row r="188" spans="1:9" ht="15.75">
      <c r="A188" s="270" t="s">
        <v>326</v>
      </c>
      <c r="B188" s="91" t="s">
        <v>201</v>
      </c>
      <c r="C188" s="49" t="s">
        <v>120</v>
      </c>
      <c r="D188" s="84" t="s">
        <v>114</v>
      </c>
      <c r="E188" s="29" t="s">
        <v>349</v>
      </c>
      <c r="F188" s="28"/>
      <c r="G188" s="132" t="s">
        <v>323</v>
      </c>
      <c r="H188" s="121">
        <v>30.5</v>
      </c>
      <c r="I188" s="30">
        <v>30.5</v>
      </c>
    </row>
    <row r="189" spans="1:9" ht="29.25">
      <c r="A189" s="113" t="s">
        <v>363</v>
      </c>
      <c r="B189" s="91" t="s">
        <v>201</v>
      </c>
      <c r="C189" s="49" t="s">
        <v>120</v>
      </c>
      <c r="D189" s="84" t="s">
        <v>114</v>
      </c>
      <c r="E189" s="29" t="s">
        <v>362</v>
      </c>
      <c r="F189" s="28"/>
      <c r="G189" s="132"/>
      <c r="H189" s="121">
        <f>H190</f>
        <v>30</v>
      </c>
      <c r="I189" s="30">
        <f>I190</f>
        <v>30</v>
      </c>
    </row>
    <row r="190" spans="1:9" ht="15.75">
      <c r="A190" s="270" t="s">
        <v>326</v>
      </c>
      <c r="B190" s="91" t="s">
        <v>201</v>
      </c>
      <c r="C190" s="49" t="s">
        <v>120</v>
      </c>
      <c r="D190" s="84" t="s">
        <v>114</v>
      </c>
      <c r="E190" s="29" t="s">
        <v>362</v>
      </c>
      <c r="F190" s="28"/>
      <c r="G190" s="132" t="s">
        <v>323</v>
      </c>
      <c r="H190" s="121">
        <v>30</v>
      </c>
      <c r="I190" s="39">
        <v>30</v>
      </c>
    </row>
    <row r="191" spans="1:9" ht="15.75">
      <c r="A191" s="103" t="s">
        <v>172</v>
      </c>
      <c r="B191" s="82" t="s">
        <v>201</v>
      </c>
      <c r="C191" s="59" t="s">
        <v>120</v>
      </c>
      <c r="D191" s="85" t="s">
        <v>115</v>
      </c>
      <c r="E191" s="33"/>
      <c r="F191" s="32"/>
      <c r="G191" s="99"/>
      <c r="H191" s="164">
        <f>H192</f>
        <v>154528.2</v>
      </c>
      <c r="I191" s="210">
        <f>I192</f>
        <v>154228.6</v>
      </c>
    </row>
    <row r="192" spans="1:9" ht="15.75">
      <c r="A192" s="109" t="s">
        <v>173</v>
      </c>
      <c r="B192" s="91" t="s">
        <v>201</v>
      </c>
      <c r="C192" s="49" t="s">
        <v>120</v>
      </c>
      <c r="D192" s="84" t="s">
        <v>115</v>
      </c>
      <c r="E192" s="29" t="s">
        <v>174</v>
      </c>
      <c r="F192" s="28"/>
      <c r="G192" s="58"/>
      <c r="H192" s="121">
        <f>H195+H196+H200+H193+H199</f>
        <v>154528.2</v>
      </c>
      <c r="I192" s="30">
        <f>I195+I196+I200+I193+I199</f>
        <v>154228.6</v>
      </c>
    </row>
    <row r="193" spans="1:9" ht="45.75" customHeight="1">
      <c r="A193" s="113" t="s">
        <v>365</v>
      </c>
      <c r="B193" s="91" t="s">
        <v>201</v>
      </c>
      <c r="C193" s="49" t="s">
        <v>120</v>
      </c>
      <c r="D193" s="84" t="s">
        <v>115</v>
      </c>
      <c r="E193" s="29" t="s">
        <v>364</v>
      </c>
      <c r="F193" s="28"/>
      <c r="G193" s="58"/>
      <c r="H193" s="121">
        <f>H194</f>
        <v>10111.6</v>
      </c>
      <c r="I193" s="30">
        <f>I194</f>
        <v>10062</v>
      </c>
    </row>
    <row r="194" spans="1:9" ht="15.75">
      <c r="A194" s="270" t="s">
        <v>326</v>
      </c>
      <c r="B194" s="91" t="s">
        <v>201</v>
      </c>
      <c r="C194" s="49" t="s">
        <v>120</v>
      </c>
      <c r="D194" s="84" t="s">
        <v>115</v>
      </c>
      <c r="E194" s="29" t="s">
        <v>364</v>
      </c>
      <c r="F194" s="28"/>
      <c r="G194" s="58" t="s">
        <v>323</v>
      </c>
      <c r="H194" s="121">
        <f>10062+49.6</f>
        <v>10111.6</v>
      </c>
      <c r="I194" s="30">
        <v>10062</v>
      </c>
    </row>
    <row r="195" spans="1:9" ht="43.5">
      <c r="A195" s="113" t="s">
        <v>353</v>
      </c>
      <c r="B195" s="91" t="s">
        <v>201</v>
      </c>
      <c r="C195" s="49" t="s">
        <v>120</v>
      </c>
      <c r="D195" s="84" t="s">
        <v>115</v>
      </c>
      <c r="E195" s="29" t="s">
        <v>345</v>
      </c>
      <c r="F195" s="28"/>
      <c r="G195" s="58" t="s">
        <v>323</v>
      </c>
      <c r="H195" s="121">
        <f>148728.6-3861.3-10062-3016+250</f>
        <v>132039.30000000002</v>
      </c>
      <c r="I195" s="30">
        <f>148728.6-3861.3-10062-3016</f>
        <v>131789.30000000002</v>
      </c>
    </row>
    <row r="196" spans="1:9" ht="57.75">
      <c r="A196" s="113" t="s">
        <v>346</v>
      </c>
      <c r="B196" s="91" t="s">
        <v>201</v>
      </c>
      <c r="C196" s="49" t="s">
        <v>120</v>
      </c>
      <c r="D196" s="84" t="s">
        <v>115</v>
      </c>
      <c r="E196" s="29" t="s">
        <v>352</v>
      </c>
      <c r="F196" s="28"/>
      <c r="G196" s="58"/>
      <c r="H196" s="121">
        <f>H197</f>
        <v>3861.3</v>
      </c>
      <c r="I196" s="50">
        <f>I197</f>
        <v>3861.3</v>
      </c>
    </row>
    <row r="197" spans="1:9" ht="15.75">
      <c r="A197" s="270" t="s">
        <v>326</v>
      </c>
      <c r="B197" s="91" t="s">
        <v>201</v>
      </c>
      <c r="C197" s="49" t="s">
        <v>120</v>
      </c>
      <c r="D197" s="84" t="s">
        <v>115</v>
      </c>
      <c r="E197" s="29" t="s">
        <v>352</v>
      </c>
      <c r="F197" s="28"/>
      <c r="G197" s="58" t="s">
        <v>323</v>
      </c>
      <c r="H197" s="121">
        <v>3861.3</v>
      </c>
      <c r="I197" s="50">
        <v>3861.3</v>
      </c>
    </row>
    <row r="198" spans="1:9" ht="43.5">
      <c r="A198" s="113" t="s">
        <v>367</v>
      </c>
      <c r="B198" s="91" t="s">
        <v>201</v>
      </c>
      <c r="C198" s="49" t="s">
        <v>120</v>
      </c>
      <c r="D198" s="84" t="s">
        <v>115</v>
      </c>
      <c r="E198" s="29" t="s">
        <v>366</v>
      </c>
      <c r="F198" s="28"/>
      <c r="G198" s="58"/>
      <c r="H198" s="121">
        <f>H199</f>
        <v>8266</v>
      </c>
      <c r="I198" s="50">
        <f>I199</f>
        <v>8516</v>
      </c>
    </row>
    <row r="199" spans="1:9" ht="15.75">
      <c r="A199" s="270" t="s">
        <v>326</v>
      </c>
      <c r="B199" s="91" t="s">
        <v>201</v>
      </c>
      <c r="C199" s="49" t="s">
        <v>120</v>
      </c>
      <c r="D199" s="84" t="s">
        <v>115</v>
      </c>
      <c r="E199" s="29" t="s">
        <v>366</v>
      </c>
      <c r="F199" s="28"/>
      <c r="G199" s="58" t="s">
        <v>323</v>
      </c>
      <c r="H199" s="121">
        <f>3016+5500-250</f>
        <v>8266</v>
      </c>
      <c r="I199" s="50">
        <f>3016+5500</f>
        <v>8516</v>
      </c>
    </row>
    <row r="200" spans="1:9" ht="15.75">
      <c r="A200" s="109" t="s">
        <v>18</v>
      </c>
      <c r="B200" s="91" t="s">
        <v>201</v>
      </c>
      <c r="C200" s="49" t="s">
        <v>120</v>
      </c>
      <c r="D200" s="84" t="s">
        <v>115</v>
      </c>
      <c r="E200" s="29" t="s">
        <v>175</v>
      </c>
      <c r="F200" s="28"/>
      <c r="G200" s="58"/>
      <c r="H200" s="121">
        <f>H201</f>
        <v>250</v>
      </c>
      <c r="I200" s="30">
        <f>I201</f>
        <v>0</v>
      </c>
    </row>
    <row r="201" spans="1:9" ht="15.75">
      <c r="A201" s="185" t="s">
        <v>155</v>
      </c>
      <c r="B201" s="91" t="s">
        <v>201</v>
      </c>
      <c r="C201" s="49" t="s">
        <v>120</v>
      </c>
      <c r="D201" s="84" t="s">
        <v>115</v>
      </c>
      <c r="E201" s="29" t="s">
        <v>175</v>
      </c>
      <c r="F201" s="28"/>
      <c r="G201" s="132" t="s">
        <v>156</v>
      </c>
      <c r="H201" s="121">
        <f>250</f>
        <v>250</v>
      </c>
      <c r="I201" s="30"/>
    </row>
    <row r="202" spans="1:9" ht="15.75">
      <c r="A202" s="103" t="s">
        <v>176</v>
      </c>
      <c r="B202" s="82" t="s">
        <v>201</v>
      </c>
      <c r="C202" s="59" t="s">
        <v>120</v>
      </c>
      <c r="D202" s="85" t="s">
        <v>119</v>
      </c>
      <c r="E202" s="33"/>
      <c r="F202" s="32"/>
      <c r="G202" s="99"/>
      <c r="H202" s="273">
        <f>H203</f>
        <v>390.6</v>
      </c>
      <c r="I202" s="34">
        <f>I203</f>
        <v>390.6</v>
      </c>
    </row>
    <row r="203" spans="1:9" ht="15.75">
      <c r="A203" s="108" t="s">
        <v>191</v>
      </c>
      <c r="B203" s="91" t="s">
        <v>201</v>
      </c>
      <c r="C203" s="49" t="s">
        <v>120</v>
      </c>
      <c r="D203" s="84" t="s">
        <v>119</v>
      </c>
      <c r="E203" s="29" t="s">
        <v>30</v>
      </c>
      <c r="F203" s="28"/>
      <c r="G203" s="58"/>
      <c r="H203" s="121">
        <f>H205+H207</f>
        <v>390.6</v>
      </c>
      <c r="I203" s="39">
        <f>I205+I207</f>
        <v>390.6</v>
      </c>
    </row>
    <row r="204" spans="1:9" ht="43.5">
      <c r="A204" s="113" t="s">
        <v>341</v>
      </c>
      <c r="B204" s="91" t="s">
        <v>201</v>
      </c>
      <c r="C204" s="49" t="s">
        <v>120</v>
      </c>
      <c r="D204" s="84" t="s">
        <v>119</v>
      </c>
      <c r="E204" s="29" t="s">
        <v>342</v>
      </c>
      <c r="F204" s="28"/>
      <c r="G204" s="58"/>
      <c r="H204" s="175">
        <f>H205</f>
        <v>390.40000000000003</v>
      </c>
      <c r="I204" s="30">
        <f>I205</f>
        <v>390.40000000000003</v>
      </c>
    </row>
    <row r="205" spans="1:9" ht="15.75">
      <c r="A205" s="270" t="s">
        <v>326</v>
      </c>
      <c r="B205" s="91" t="s">
        <v>201</v>
      </c>
      <c r="C205" s="49" t="s">
        <v>120</v>
      </c>
      <c r="D205" s="84" t="s">
        <v>119</v>
      </c>
      <c r="E205" s="29" t="s">
        <v>342</v>
      </c>
      <c r="F205" s="28"/>
      <c r="G205" s="132" t="s">
        <v>323</v>
      </c>
      <c r="H205" s="121">
        <f>390.6-0.2</f>
        <v>390.40000000000003</v>
      </c>
      <c r="I205" s="50">
        <f>390.6-0.2</f>
        <v>390.40000000000003</v>
      </c>
    </row>
    <row r="206" spans="1:9" ht="48" customHeight="1">
      <c r="A206" s="113" t="s">
        <v>350</v>
      </c>
      <c r="B206" s="91" t="s">
        <v>201</v>
      </c>
      <c r="C206" s="49" t="s">
        <v>120</v>
      </c>
      <c r="D206" s="84" t="s">
        <v>119</v>
      </c>
      <c r="E206" s="29" t="s">
        <v>347</v>
      </c>
      <c r="F206" s="28"/>
      <c r="G206" s="58"/>
      <c r="H206" s="121">
        <f>H207</f>
        <v>0.2</v>
      </c>
      <c r="I206" s="39">
        <f>I207</f>
        <v>0.2</v>
      </c>
    </row>
    <row r="207" spans="1:9" ht="15.75">
      <c r="A207" s="270" t="s">
        <v>326</v>
      </c>
      <c r="B207" s="91" t="s">
        <v>201</v>
      </c>
      <c r="C207" s="49" t="s">
        <v>120</v>
      </c>
      <c r="D207" s="84" t="s">
        <v>119</v>
      </c>
      <c r="E207" s="29" t="s">
        <v>347</v>
      </c>
      <c r="F207" s="28"/>
      <c r="G207" s="132" t="s">
        <v>323</v>
      </c>
      <c r="H207" s="121">
        <v>0.2</v>
      </c>
      <c r="I207" s="30">
        <v>0.2</v>
      </c>
    </row>
    <row r="208" spans="1:9" ht="15.75">
      <c r="A208" s="103" t="s">
        <v>177</v>
      </c>
      <c r="B208" s="82" t="s">
        <v>201</v>
      </c>
      <c r="C208" s="59" t="s">
        <v>120</v>
      </c>
      <c r="D208" s="85" t="s">
        <v>116</v>
      </c>
      <c r="E208" s="33"/>
      <c r="F208" s="32"/>
      <c r="G208" s="99"/>
      <c r="H208" s="173">
        <f>H209+H216</f>
        <v>54289.5</v>
      </c>
      <c r="I208" s="210">
        <f>I209+I216</f>
        <v>54289.5</v>
      </c>
    </row>
    <row r="209" spans="1:9" ht="15.75">
      <c r="A209" s="109" t="s">
        <v>178</v>
      </c>
      <c r="B209" s="91" t="s">
        <v>201</v>
      </c>
      <c r="C209" s="49" t="s">
        <v>120</v>
      </c>
      <c r="D209" s="84" t="s">
        <v>116</v>
      </c>
      <c r="E209" s="29" t="s">
        <v>179</v>
      </c>
      <c r="F209" s="28"/>
      <c r="G209" s="58"/>
      <c r="H209" s="171">
        <f>H210+H212+H214</f>
        <v>51243.5</v>
      </c>
      <c r="I209" s="30">
        <f>I210+I212+I214</f>
        <v>51243.5</v>
      </c>
    </row>
    <row r="210" spans="1:9" ht="29.25">
      <c r="A210" s="113" t="s">
        <v>355</v>
      </c>
      <c r="B210" s="91" t="s">
        <v>201</v>
      </c>
      <c r="C210" s="49" t="s">
        <v>120</v>
      </c>
      <c r="D210" s="84" t="s">
        <v>116</v>
      </c>
      <c r="E210" s="29" t="s">
        <v>354</v>
      </c>
      <c r="F210" s="28"/>
      <c r="G210" s="58"/>
      <c r="H210" s="171">
        <f>H211</f>
        <v>50878.3</v>
      </c>
      <c r="I210" s="68">
        <f>I211</f>
        <v>50878.3</v>
      </c>
    </row>
    <row r="211" spans="1:9" ht="15.75">
      <c r="A211" s="270" t="s">
        <v>326</v>
      </c>
      <c r="B211" s="91" t="s">
        <v>201</v>
      </c>
      <c r="C211" s="49" t="s">
        <v>120</v>
      </c>
      <c r="D211" s="84" t="s">
        <v>116</v>
      </c>
      <c r="E211" s="29" t="s">
        <v>354</v>
      </c>
      <c r="F211" s="28"/>
      <c r="G211" s="58" t="s">
        <v>323</v>
      </c>
      <c r="H211" s="171">
        <f>51178.3-300</f>
        <v>50878.3</v>
      </c>
      <c r="I211" s="30">
        <f>51178.3-300</f>
        <v>50878.3</v>
      </c>
    </row>
    <row r="212" spans="1:9" ht="43.5">
      <c r="A212" s="113" t="s">
        <v>356</v>
      </c>
      <c r="B212" s="91" t="s">
        <v>201</v>
      </c>
      <c r="C212" s="49" t="s">
        <v>120</v>
      </c>
      <c r="D212" s="84" t="s">
        <v>116</v>
      </c>
      <c r="E212" s="29" t="s">
        <v>357</v>
      </c>
      <c r="F212" s="28"/>
      <c r="G212" s="58"/>
      <c r="H212" s="171">
        <v>65.2</v>
      </c>
      <c r="I212" s="68">
        <v>65.2</v>
      </c>
    </row>
    <row r="213" spans="1:9" ht="15.75">
      <c r="A213" s="270" t="s">
        <v>326</v>
      </c>
      <c r="B213" s="91" t="s">
        <v>201</v>
      </c>
      <c r="C213" s="49" t="s">
        <v>120</v>
      </c>
      <c r="D213" s="84" t="s">
        <v>116</v>
      </c>
      <c r="E213" s="29" t="s">
        <v>357</v>
      </c>
      <c r="F213" s="28"/>
      <c r="G213" s="58" t="s">
        <v>323</v>
      </c>
      <c r="H213" s="171">
        <v>65.2</v>
      </c>
      <c r="I213" s="30">
        <v>65.2</v>
      </c>
    </row>
    <row r="214" spans="1:9" ht="29.25">
      <c r="A214" s="113" t="s">
        <v>369</v>
      </c>
      <c r="B214" s="91" t="s">
        <v>201</v>
      </c>
      <c r="C214" s="49" t="s">
        <v>120</v>
      </c>
      <c r="D214" s="84" t="s">
        <v>116</v>
      </c>
      <c r="E214" s="29" t="s">
        <v>368</v>
      </c>
      <c r="F214" s="28"/>
      <c r="G214" s="58"/>
      <c r="H214" s="171">
        <f>H215</f>
        <v>300</v>
      </c>
      <c r="I214" s="30">
        <f>I215</f>
        <v>300</v>
      </c>
    </row>
    <row r="215" spans="1:9" ht="15.75">
      <c r="A215" s="270" t="s">
        <v>326</v>
      </c>
      <c r="B215" s="91" t="s">
        <v>201</v>
      </c>
      <c r="C215" s="49" t="s">
        <v>120</v>
      </c>
      <c r="D215" s="84" t="s">
        <v>116</v>
      </c>
      <c r="E215" s="29" t="s">
        <v>368</v>
      </c>
      <c r="F215" s="28"/>
      <c r="G215" s="58" t="s">
        <v>323</v>
      </c>
      <c r="H215" s="171">
        <v>300</v>
      </c>
      <c r="I215" s="30">
        <v>300</v>
      </c>
    </row>
    <row r="216" spans="1:9" ht="15.75">
      <c r="A216" s="109" t="s">
        <v>79</v>
      </c>
      <c r="B216" s="91" t="s">
        <v>201</v>
      </c>
      <c r="C216" s="49" t="s">
        <v>120</v>
      </c>
      <c r="D216" s="84" t="s">
        <v>116</v>
      </c>
      <c r="E216" s="29" t="s">
        <v>63</v>
      </c>
      <c r="F216" s="28"/>
      <c r="G216" s="58"/>
      <c r="H216" s="171">
        <f>H217</f>
        <v>3046</v>
      </c>
      <c r="I216" s="30">
        <f>I217</f>
        <v>3046</v>
      </c>
    </row>
    <row r="217" spans="1:9" ht="43.5">
      <c r="A217" s="113" t="s">
        <v>180</v>
      </c>
      <c r="B217" s="91" t="s">
        <v>201</v>
      </c>
      <c r="C217" s="49" t="s">
        <v>120</v>
      </c>
      <c r="D217" s="84" t="s">
        <v>116</v>
      </c>
      <c r="E217" s="29" t="s">
        <v>160</v>
      </c>
      <c r="F217" s="28"/>
      <c r="G217" s="58"/>
      <c r="H217" s="171">
        <f>H218</f>
        <v>3046</v>
      </c>
      <c r="I217" s="39">
        <f>I218</f>
        <v>3046</v>
      </c>
    </row>
    <row r="218" spans="1:9" ht="15.75">
      <c r="A218" s="270" t="s">
        <v>326</v>
      </c>
      <c r="B218" s="91" t="s">
        <v>201</v>
      </c>
      <c r="C218" s="49" t="s">
        <v>120</v>
      </c>
      <c r="D218" s="84" t="s">
        <v>116</v>
      </c>
      <c r="E218" s="29" t="s">
        <v>160</v>
      </c>
      <c r="F218" s="28"/>
      <c r="G218" s="132" t="s">
        <v>323</v>
      </c>
      <c r="H218" s="171">
        <f>2750-54+350</f>
        <v>3046</v>
      </c>
      <c r="I218" s="30">
        <f>2750-54+350</f>
        <v>3046</v>
      </c>
    </row>
    <row r="219" spans="1:9" ht="15.75">
      <c r="A219" s="316" t="s">
        <v>405</v>
      </c>
      <c r="B219" s="91" t="s">
        <v>201</v>
      </c>
      <c r="C219" s="49" t="s">
        <v>120</v>
      </c>
      <c r="D219" s="84" t="s">
        <v>120</v>
      </c>
      <c r="E219" s="29"/>
      <c r="F219" s="28"/>
      <c r="G219" s="132"/>
      <c r="H219" s="171">
        <f aca="true" t="shared" si="8" ref="H219:I222">H220</f>
        <v>268924.9</v>
      </c>
      <c r="I219" s="30">
        <f t="shared" si="8"/>
        <v>268836.4</v>
      </c>
    </row>
    <row r="220" spans="1:9" ht="15.75">
      <c r="A220" s="112" t="s">
        <v>230</v>
      </c>
      <c r="B220" s="91" t="s">
        <v>201</v>
      </c>
      <c r="C220" s="49" t="s">
        <v>120</v>
      </c>
      <c r="D220" s="84" t="s">
        <v>120</v>
      </c>
      <c r="E220" s="29" t="s">
        <v>229</v>
      </c>
      <c r="F220" s="28"/>
      <c r="G220" s="132"/>
      <c r="H220" s="171">
        <f t="shared" si="8"/>
        <v>268924.9</v>
      </c>
      <c r="I220" s="30">
        <f t="shared" si="8"/>
        <v>268836.4</v>
      </c>
    </row>
    <row r="221" spans="1:9" ht="51.75" customHeight="1">
      <c r="A221" s="252" t="s">
        <v>403</v>
      </c>
      <c r="B221" s="91" t="s">
        <v>201</v>
      </c>
      <c r="C221" s="49" t="s">
        <v>120</v>
      </c>
      <c r="D221" s="84" t="s">
        <v>120</v>
      </c>
      <c r="E221" s="29" t="s">
        <v>402</v>
      </c>
      <c r="F221" s="28"/>
      <c r="G221" s="132"/>
      <c r="H221" s="171">
        <f t="shared" si="8"/>
        <v>268924.9</v>
      </c>
      <c r="I221" s="30">
        <f t="shared" si="8"/>
        <v>268836.4</v>
      </c>
    </row>
    <row r="222" spans="1:9" ht="29.25">
      <c r="A222" s="201" t="s">
        <v>404</v>
      </c>
      <c r="B222" s="91" t="s">
        <v>201</v>
      </c>
      <c r="C222" s="49" t="s">
        <v>120</v>
      </c>
      <c r="D222" s="84" t="s">
        <v>120</v>
      </c>
      <c r="E222" s="29" t="s">
        <v>401</v>
      </c>
      <c r="F222" s="28"/>
      <c r="G222" s="132"/>
      <c r="H222" s="171">
        <f t="shared" si="8"/>
        <v>268924.9</v>
      </c>
      <c r="I222" s="30">
        <f t="shared" si="8"/>
        <v>268836.4</v>
      </c>
    </row>
    <row r="223" spans="1:9" ht="15.75">
      <c r="A223" s="270" t="s">
        <v>326</v>
      </c>
      <c r="B223" s="91" t="s">
        <v>201</v>
      </c>
      <c r="C223" s="49" t="s">
        <v>120</v>
      </c>
      <c r="D223" s="84" t="s">
        <v>120</v>
      </c>
      <c r="E223" s="29" t="s">
        <v>401</v>
      </c>
      <c r="F223" s="28"/>
      <c r="G223" s="132" t="s">
        <v>323</v>
      </c>
      <c r="H223" s="171">
        <f>88.5+157103+111733.4</f>
        <v>268924.9</v>
      </c>
      <c r="I223" s="50">
        <f>157103+111733.4</f>
        <v>268836.4</v>
      </c>
    </row>
    <row r="224" spans="1:9" ht="15.75">
      <c r="A224" s="53" t="s">
        <v>3</v>
      </c>
      <c r="B224" s="85" t="s">
        <v>201</v>
      </c>
      <c r="C224" s="33" t="s">
        <v>121</v>
      </c>
      <c r="D224" s="85"/>
      <c r="E224" s="33"/>
      <c r="F224" s="32"/>
      <c r="G224" s="99"/>
      <c r="H224" s="169">
        <f>H225+H229+H235</f>
        <v>52795.8</v>
      </c>
      <c r="I224" s="61">
        <f>I225+I229+I235</f>
        <v>43703</v>
      </c>
    </row>
    <row r="225" spans="1:9" ht="15.75">
      <c r="A225" s="15" t="s">
        <v>33</v>
      </c>
      <c r="B225" s="82" t="s">
        <v>201</v>
      </c>
      <c r="C225" s="59" t="s">
        <v>121</v>
      </c>
      <c r="D225" s="82" t="s">
        <v>114</v>
      </c>
      <c r="E225" s="33"/>
      <c r="F225" s="32"/>
      <c r="G225" s="99"/>
      <c r="H225" s="173">
        <f aca="true" t="shared" si="9" ref="H225:I227">H226</f>
        <v>1375.4</v>
      </c>
      <c r="I225" s="61">
        <f t="shared" si="9"/>
        <v>0</v>
      </c>
    </row>
    <row r="226" spans="1:9" ht="15.75">
      <c r="A226" s="110" t="s">
        <v>144</v>
      </c>
      <c r="B226" s="84" t="s">
        <v>201</v>
      </c>
      <c r="C226" s="49" t="s">
        <v>121</v>
      </c>
      <c r="D226" s="84" t="s">
        <v>114</v>
      </c>
      <c r="E226" s="29" t="s">
        <v>145</v>
      </c>
      <c r="F226" s="28"/>
      <c r="G226" s="58"/>
      <c r="H226" s="171">
        <f t="shared" si="9"/>
        <v>1375.4</v>
      </c>
      <c r="I226" s="30">
        <f t="shared" si="9"/>
        <v>0</v>
      </c>
    </row>
    <row r="227" spans="1:9" ht="29.25">
      <c r="A227" s="110" t="s">
        <v>75</v>
      </c>
      <c r="B227" s="89" t="s">
        <v>201</v>
      </c>
      <c r="C227" s="49" t="s">
        <v>121</v>
      </c>
      <c r="D227" s="89" t="s">
        <v>114</v>
      </c>
      <c r="E227" s="38" t="s">
        <v>146</v>
      </c>
      <c r="F227" s="37"/>
      <c r="G227" s="58"/>
      <c r="H227" s="174">
        <f t="shared" si="9"/>
        <v>1375.4</v>
      </c>
      <c r="I227" s="39">
        <f t="shared" si="9"/>
        <v>0</v>
      </c>
    </row>
    <row r="228" spans="1:9" ht="15.75">
      <c r="A228" s="110" t="s">
        <v>100</v>
      </c>
      <c r="B228" s="89" t="s">
        <v>201</v>
      </c>
      <c r="C228" s="49" t="s">
        <v>121</v>
      </c>
      <c r="D228" s="89" t="s">
        <v>114</v>
      </c>
      <c r="E228" s="38" t="s">
        <v>146</v>
      </c>
      <c r="F228" s="37"/>
      <c r="G228" s="58" t="s">
        <v>38</v>
      </c>
      <c r="H228" s="174">
        <v>1375.4</v>
      </c>
      <c r="I228" s="118"/>
    </row>
    <row r="229" spans="1:9" ht="15.75">
      <c r="A229" s="53" t="s">
        <v>64</v>
      </c>
      <c r="B229" s="85" t="s">
        <v>201</v>
      </c>
      <c r="C229" s="59" t="s">
        <v>121</v>
      </c>
      <c r="D229" s="85" t="s">
        <v>119</v>
      </c>
      <c r="E229" s="33"/>
      <c r="F229" s="32"/>
      <c r="G229" s="99"/>
      <c r="H229" s="169">
        <f>H230</f>
        <v>44566</v>
      </c>
      <c r="I229" s="34">
        <f>I230</f>
        <v>43703</v>
      </c>
    </row>
    <row r="230" spans="1:9" ht="15.75">
      <c r="A230" s="108" t="s">
        <v>147</v>
      </c>
      <c r="B230" s="84" t="s">
        <v>201</v>
      </c>
      <c r="C230" s="49" t="s">
        <v>121</v>
      </c>
      <c r="D230" s="84" t="s">
        <v>119</v>
      </c>
      <c r="E230" s="29" t="s">
        <v>58</v>
      </c>
      <c r="F230" s="28"/>
      <c r="G230" s="58"/>
      <c r="H230" s="171">
        <f>H231+H233</f>
        <v>44566</v>
      </c>
      <c r="I230" s="30">
        <f>I231+I233</f>
        <v>43703</v>
      </c>
    </row>
    <row r="231" spans="1:9" ht="15.75">
      <c r="A231" s="108" t="s">
        <v>148</v>
      </c>
      <c r="B231" s="84" t="s">
        <v>201</v>
      </c>
      <c r="C231" s="49" t="s">
        <v>121</v>
      </c>
      <c r="D231" s="84" t="s">
        <v>119</v>
      </c>
      <c r="E231" s="29" t="s">
        <v>185</v>
      </c>
      <c r="F231" s="28" t="s">
        <v>59</v>
      </c>
      <c r="G231" s="58"/>
      <c r="H231" s="171">
        <f>H232</f>
        <v>863</v>
      </c>
      <c r="I231" s="30">
        <f>I232</f>
        <v>0</v>
      </c>
    </row>
    <row r="232" spans="1:9" ht="15.75">
      <c r="A232" s="110" t="s">
        <v>100</v>
      </c>
      <c r="B232" s="84" t="s">
        <v>201</v>
      </c>
      <c r="C232" s="49" t="s">
        <v>121</v>
      </c>
      <c r="D232" s="84" t="s">
        <v>119</v>
      </c>
      <c r="E232" s="29" t="s">
        <v>185</v>
      </c>
      <c r="F232" s="28"/>
      <c r="G232" s="29" t="s">
        <v>38</v>
      </c>
      <c r="H232" s="171">
        <f>733+130</f>
        <v>863</v>
      </c>
      <c r="I232" s="30"/>
    </row>
    <row r="233" spans="1:9" ht="29.25">
      <c r="A233" s="110" t="s">
        <v>93</v>
      </c>
      <c r="B233" s="84" t="s">
        <v>201</v>
      </c>
      <c r="C233" s="49" t="s">
        <v>121</v>
      </c>
      <c r="D233" s="84" t="s">
        <v>119</v>
      </c>
      <c r="E233" s="29" t="s">
        <v>149</v>
      </c>
      <c r="F233" s="28"/>
      <c r="G233" s="58"/>
      <c r="H233" s="171">
        <f>H234</f>
        <v>43703</v>
      </c>
      <c r="I233" s="30">
        <f>I234</f>
        <v>43703</v>
      </c>
    </row>
    <row r="234" spans="1:9" ht="29.25">
      <c r="A234" s="110" t="s">
        <v>438</v>
      </c>
      <c r="B234" s="84" t="s">
        <v>201</v>
      </c>
      <c r="C234" s="49" t="s">
        <v>121</v>
      </c>
      <c r="D234" s="84" t="s">
        <v>119</v>
      </c>
      <c r="E234" s="29" t="s">
        <v>149</v>
      </c>
      <c r="F234" s="28"/>
      <c r="G234" s="29" t="s">
        <v>437</v>
      </c>
      <c r="H234" s="171">
        <f>38744+4959</f>
        <v>43703</v>
      </c>
      <c r="I234" s="30">
        <f>38744+4959</f>
        <v>43703</v>
      </c>
    </row>
    <row r="235" spans="1:9" ht="15.75">
      <c r="A235" s="53" t="s">
        <v>82</v>
      </c>
      <c r="B235" s="85" t="s">
        <v>201</v>
      </c>
      <c r="C235" s="59" t="s">
        <v>121</v>
      </c>
      <c r="D235" s="85" t="s">
        <v>130</v>
      </c>
      <c r="E235" s="33"/>
      <c r="F235" s="32"/>
      <c r="G235" s="99"/>
      <c r="H235" s="169">
        <f>H236</f>
        <v>6854.4</v>
      </c>
      <c r="I235" s="34">
        <f>I236</f>
        <v>0</v>
      </c>
    </row>
    <row r="236" spans="1:9" ht="15.75">
      <c r="A236" s="109" t="s">
        <v>83</v>
      </c>
      <c r="B236" s="84" t="s">
        <v>201</v>
      </c>
      <c r="C236" s="49" t="s">
        <v>121</v>
      </c>
      <c r="D236" s="84" t="s">
        <v>130</v>
      </c>
      <c r="E236" s="29" t="s">
        <v>84</v>
      </c>
      <c r="F236" s="28" t="s">
        <v>36</v>
      </c>
      <c r="G236" s="58"/>
      <c r="H236" s="171">
        <f>H237</f>
        <v>6854.4</v>
      </c>
      <c r="I236" s="30">
        <f>I237</f>
        <v>0</v>
      </c>
    </row>
    <row r="237" spans="1:9" ht="43.5">
      <c r="A237" s="159" t="s">
        <v>251</v>
      </c>
      <c r="B237" s="84" t="s">
        <v>201</v>
      </c>
      <c r="C237" s="49" t="s">
        <v>121</v>
      </c>
      <c r="D237" s="91" t="s">
        <v>130</v>
      </c>
      <c r="E237" s="29" t="s">
        <v>151</v>
      </c>
      <c r="F237" s="28" t="s">
        <v>36</v>
      </c>
      <c r="G237" s="132"/>
      <c r="H237" s="171">
        <f>H239+H238</f>
        <v>6854.4</v>
      </c>
      <c r="I237" s="30">
        <f>I239</f>
        <v>0</v>
      </c>
    </row>
    <row r="238" spans="1:9" ht="15.75">
      <c r="A238" s="298" t="s">
        <v>100</v>
      </c>
      <c r="B238" s="299" t="s">
        <v>201</v>
      </c>
      <c r="C238" s="295" t="s">
        <v>121</v>
      </c>
      <c r="D238" s="299" t="s">
        <v>130</v>
      </c>
      <c r="E238" s="295" t="s">
        <v>151</v>
      </c>
      <c r="F238" s="300"/>
      <c r="G238" s="301" t="s">
        <v>38</v>
      </c>
      <c r="H238" s="302">
        <v>200</v>
      </c>
      <c r="I238" s="303"/>
    </row>
    <row r="239" spans="1:9" ht="15.75">
      <c r="A239" s="290" t="s">
        <v>94</v>
      </c>
      <c r="B239" s="304" t="s">
        <v>201</v>
      </c>
      <c r="C239" s="292" t="s">
        <v>121</v>
      </c>
      <c r="D239" s="305" t="s">
        <v>130</v>
      </c>
      <c r="E239" s="295" t="s">
        <v>151</v>
      </c>
      <c r="F239" s="294" t="s">
        <v>85</v>
      </c>
      <c r="G239" s="292" t="s">
        <v>158</v>
      </c>
      <c r="H239" s="306">
        <f>5230-300+2000-300+24.4</f>
        <v>6654.4</v>
      </c>
      <c r="I239" s="307"/>
    </row>
    <row r="240" spans="1:9" ht="15.75">
      <c r="A240" s="226" t="s">
        <v>142</v>
      </c>
      <c r="B240" s="85" t="s">
        <v>201</v>
      </c>
      <c r="C240" s="33" t="s">
        <v>196</v>
      </c>
      <c r="D240" s="82"/>
      <c r="E240" s="33"/>
      <c r="F240" s="32"/>
      <c r="G240" s="99"/>
      <c r="H240" s="169">
        <f>H241</f>
        <v>280213.6</v>
      </c>
      <c r="I240" s="34">
        <f>I241</f>
        <v>130000</v>
      </c>
    </row>
    <row r="241" spans="1:9" ht="15.75">
      <c r="A241" s="226" t="s">
        <v>200</v>
      </c>
      <c r="B241" s="85" t="s">
        <v>201</v>
      </c>
      <c r="C241" s="33" t="s">
        <v>196</v>
      </c>
      <c r="D241" s="82" t="s">
        <v>114</v>
      </c>
      <c r="E241" s="33"/>
      <c r="F241" s="32"/>
      <c r="G241" s="99"/>
      <c r="H241" s="169">
        <f>H246+H242</f>
        <v>280213.6</v>
      </c>
      <c r="I241" s="34">
        <f>I246+I242</f>
        <v>130000</v>
      </c>
    </row>
    <row r="242" spans="1:9" ht="15.75">
      <c r="A242" s="112" t="s">
        <v>230</v>
      </c>
      <c r="B242" s="84" t="s">
        <v>201</v>
      </c>
      <c r="C242" s="29" t="s">
        <v>196</v>
      </c>
      <c r="D242" s="91" t="s">
        <v>114</v>
      </c>
      <c r="E242" s="29" t="s">
        <v>229</v>
      </c>
      <c r="F242" s="28"/>
      <c r="G242" s="58"/>
      <c r="H242" s="171">
        <f aca="true" t="shared" si="10" ref="H242:I244">H243</f>
        <v>130099.5</v>
      </c>
      <c r="I242" s="30">
        <f t="shared" si="10"/>
        <v>130000</v>
      </c>
    </row>
    <row r="243" spans="1:9" ht="29.25">
      <c r="A243" s="111" t="s">
        <v>283</v>
      </c>
      <c r="B243" s="84" t="s">
        <v>201</v>
      </c>
      <c r="C243" s="29" t="s">
        <v>196</v>
      </c>
      <c r="D243" s="91" t="s">
        <v>114</v>
      </c>
      <c r="E243" s="29" t="s">
        <v>299</v>
      </c>
      <c r="F243" s="28"/>
      <c r="G243" s="58"/>
      <c r="H243" s="171">
        <f t="shared" si="10"/>
        <v>130099.5</v>
      </c>
      <c r="I243" s="50">
        <f t="shared" si="10"/>
        <v>130000</v>
      </c>
    </row>
    <row r="244" spans="1:9" ht="29.25">
      <c r="A244" s="110" t="s">
        <v>298</v>
      </c>
      <c r="B244" s="84" t="s">
        <v>201</v>
      </c>
      <c r="C244" s="29" t="s">
        <v>196</v>
      </c>
      <c r="D244" s="91" t="s">
        <v>114</v>
      </c>
      <c r="E244" s="29" t="s">
        <v>299</v>
      </c>
      <c r="F244" s="28"/>
      <c r="G244" s="58"/>
      <c r="H244" s="171">
        <f t="shared" si="10"/>
        <v>130099.5</v>
      </c>
      <c r="I244" s="30">
        <f t="shared" si="10"/>
        <v>130000</v>
      </c>
    </row>
    <row r="245" spans="1:9" ht="105">
      <c r="A245" s="127" t="s">
        <v>301</v>
      </c>
      <c r="B245" s="84" t="s">
        <v>201</v>
      </c>
      <c r="C245" s="29" t="s">
        <v>196</v>
      </c>
      <c r="D245" s="91" t="s">
        <v>114</v>
      </c>
      <c r="E245" s="29" t="s">
        <v>299</v>
      </c>
      <c r="F245" s="28"/>
      <c r="G245" s="58" t="s">
        <v>429</v>
      </c>
      <c r="H245" s="171">
        <f>130000+99.5</f>
        <v>130099.5</v>
      </c>
      <c r="I245" s="30">
        <v>130000</v>
      </c>
    </row>
    <row r="246" spans="1:9" ht="15.75">
      <c r="A246" s="108" t="s">
        <v>83</v>
      </c>
      <c r="B246" s="84" t="s">
        <v>201</v>
      </c>
      <c r="C246" s="29" t="s">
        <v>196</v>
      </c>
      <c r="D246" s="91" t="s">
        <v>114</v>
      </c>
      <c r="E246" s="29" t="s">
        <v>84</v>
      </c>
      <c r="F246" s="28"/>
      <c r="G246" s="58"/>
      <c r="H246" s="171">
        <f>H248+H247</f>
        <v>150114.1</v>
      </c>
      <c r="I246" s="50"/>
    </row>
    <row r="247" spans="1:9" ht="15.75">
      <c r="A247" s="112" t="s">
        <v>94</v>
      </c>
      <c r="B247" s="84" t="s">
        <v>201</v>
      </c>
      <c r="C247" s="29" t="s">
        <v>196</v>
      </c>
      <c r="D247" s="91" t="s">
        <v>114</v>
      </c>
      <c r="E247" s="29" t="s">
        <v>270</v>
      </c>
      <c r="F247" s="28"/>
      <c r="G247" s="58" t="s">
        <v>158</v>
      </c>
      <c r="H247" s="171">
        <v>114.1</v>
      </c>
      <c r="I247" s="30"/>
    </row>
    <row r="248" spans="1:9" ht="122.25" customHeight="1">
      <c r="A248" s="111" t="s">
        <v>252</v>
      </c>
      <c r="B248" s="84" t="s">
        <v>201</v>
      </c>
      <c r="C248" s="29" t="s">
        <v>196</v>
      </c>
      <c r="D248" s="84" t="s">
        <v>114</v>
      </c>
      <c r="E248" s="29" t="s">
        <v>270</v>
      </c>
      <c r="F248" s="28"/>
      <c r="G248" s="58"/>
      <c r="H248" s="171">
        <f>H249</f>
        <v>150000</v>
      </c>
      <c r="I248" s="30"/>
    </row>
    <row r="249" spans="1:9" ht="25.5" customHeight="1" thickBot="1">
      <c r="A249" s="249" t="s">
        <v>131</v>
      </c>
      <c r="B249" s="97" t="s">
        <v>201</v>
      </c>
      <c r="C249" s="41" t="s">
        <v>196</v>
      </c>
      <c r="D249" s="97" t="s">
        <v>114</v>
      </c>
      <c r="E249" s="41" t="s">
        <v>270</v>
      </c>
      <c r="F249" s="40"/>
      <c r="G249" s="168" t="s">
        <v>44</v>
      </c>
      <c r="H249" s="250">
        <v>150000</v>
      </c>
      <c r="I249" s="42"/>
    </row>
    <row r="250" spans="1:9" ht="36.75" thickBot="1">
      <c r="A250" s="231" t="s">
        <v>280</v>
      </c>
      <c r="B250" s="80" t="s">
        <v>202</v>
      </c>
      <c r="C250" s="80"/>
      <c r="D250" s="22"/>
      <c r="E250" s="22"/>
      <c r="F250" s="20"/>
      <c r="G250" s="125"/>
      <c r="H250" s="119">
        <f>H256+H340+H251</f>
        <v>980594.7</v>
      </c>
      <c r="I250" s="23">
        <f>I256+I340+I251</f>
        <v>391785</v>
      </c>
    </row>
    <row r="251" spans="1:9" ht="30">
      <c r="A251" s="240" t="s">
        <v>76</v>
      </c>
      <c r="B251" s="95" t="s">
        <v>202</v>
      </c>
      <c r="C251" s="26" t="s">
        <v>119</v>
      </c>
      <c r="D251" s="26"/>
      <c r="E251" s="26"/>
      <c r="F251" s="25"/>
      <c r="G251" s="241"/>
      <c r="H251" s="189">
        <f>H252</f>
        <v>550</v>
      </c>
      <c r="I251" s="27"/>
    </row>
    <row r="252" spans="1:9" ht="30">
      <c r="A252" s="226" t="s">
        <v>71</v>
      </c>
      <c r="B252" s="82" t="s">
        <v>202</v>
      </c>
      <c r="C252" s="59" t="s">
        <v>119</v>
      </c>
      <c r="D252" s="59" t="s">
        <v>118</v>
      </c>
      <c r="E252" s="59"/>
      <c r="F252" s="36"/>
      <c r="G252" s="181"/>
      <c r="H252" s="173">
        <f>H253</f>
        <v>550</v>
      </c>
      <c r="I252" s="61"/>
    </row>
    <row r="253" spans="1:9" ht="15.75">
      <c r="A253" s="109" t="s">
        <v>83</v>
      </c>
      <c r="B253" s="89" t="s">
        <v>202</v>
      </c>
      <c r="C253" s="38" t="s">
        <v>119</v>
      </c>
      <c r="D253" s="38" t="s">
        <v>118</v>
      </c>
      <c r="E253" s="38" t="s">
        <v>84</v>
      </c>
      <c r="F253" s="37"/>
      <c r="G253" s="100"/>
      <c r="H253" s="174">
        <f>H254</f>
        <v>550</v>
      </c>
      <c r="I253" s="50">
        <f>I254</f>
        <v>0</v>
      </c>
    </row>
    <row r="254" spans="1:9" ht="43.5">
      <c r="A254" s="167" t="s">
        <v>254</v>
      </c>
      <c r="B254" s="84" t="s">
        <v>202</v>
      </c>
      <c r="C254" s="29" t="s">
        <v>119</v>
      </c>
      <c r="D254" s="29" t="s">
        <v>118</v>
      </c>
      <c r="E254" s="29" t="s">
        <v>150</v>
      </c>
      <c r="F254" s="76"/>
      <c r="G254" s="58"/>
      <c r="H254" s="171">
        <f>H255</f>
        <v>550</v>
      </c>
      <c r="I254" s="118"/>
    </row>
    <row r="255" spans="1:9" ht="15.75">
      <c r="A255" s="185" t="s">
        <v>155</v>
      </c>
      <c r="B255" s="84" t="s">
        <v>202</v>
      </c>
      <c r="C255" s="29" t="s">
        <v>119</v>
      </c>
      <c r="D255" s="29" t="s">
        <v>118</v>
      </c>
      <c r="E255" s="29" t="s">
        <v>150</v>
      </c>
      <c r="F255" s="28"/>
      <c r="G255" s="58" t="s">
        <v>156</v>
      </c>
      <c r="H255" s="171">
        <v>550</v>
      </c>
      <c r="I255" s="47"/>
    </row>
    <row r="256" spans="1:9" ht="15.75">
      <c r="A256" s="53" t="s">
        <v>4</v>
      </c>
      <c r="B256" s="85" t="s">
        <v>202</v>
      </c>
      <c r="C256" s="33" t="s">
        <v>122</v>
      </c>
      <c r="D256" s="33"/>
      <c r="E256" s="33"/>
      <c r="F256" s="32"/>
      <c r="G256" s="123"/>
      <c r="H256" s="164">
        <f>H268+H321+H257+H307</f>
        <v>966862.2</v>
      </c>
      <c r="I256" s="34">
        <f>I268+I321+I257+I307</f>
        <v>379614.5</v>
      </c>
    </row>
    <row r="257" spans="1:9" ht="15.75">
      <c r="A257" s="15" t="s">
        <v>5</v>
      </c>
      <c r="B257" s="82" t="s">
        <v>202</v>
      </c>
      <c r="C257" s="59" t="s">
        <v>122</v>
      </c>
      <c r="D257" s="59" t="s">
        <v>114</v>
      </c>
      <c r="E257" s="33"/>
      <c r="F257" s="32"/>
      <c r="G257" s="123"/>
      <c r="H257" s="264">
        <f>H258+H264</f>
        <v>345954.7</v>
      </c>
      <c r="I257" s="61">
        <f>I258</f>
        <v>90</v>
      </c>
    </row>
    <row r="258" spans="1:9" ht="15.75">
      <c r="A258" s="108" t="s">
        <v>6</v>
      </c>
      <c r="B258" s="84" t="s">
        <v>202</v>
      </c>
      <c r="C258" s="29" t="s">
        <v>122</v>
      </c>
      <c r="D258" s="29" t="s">
        <v>114</v>
      </c>
      <c r="E258" s="29" t="s">
        <v>17</v>
      </c>
      <c r="F258" s="28"/>
      <c r="G258" s="69"/>
      <c r="H258" s="121">
        <f>H259+H261</f>
        <v>345854.9</v>
      </c>
      <c r="I258" s="30">
        <f>I259+I261</f>
        <v>90</v>
      </c>
    </row>
    <row r="259" spans="1:9" ht="15.75">
      <c r="A259" s="184" t="s">
        <v>239</v>
      </c>
      <c r="B259" s="84" t="s">
        <v>202</v>
      </c>
      <c r="C259" s="29" t="s">
        <v>122</v>
      </c>
      <c r="D259" s="29" t="s">
        <v>114</v>
      </c>
      <c r="E259" s="29" t="s">
        <v>241</v>
      </c>
      <c r="F259" s="28"/>
      <c r="G259" s="69"/>
      <c r="H259" s="121">
        <f>H260</f>
        <v>8765.5</v>
      </c>
      <c r="I259" s="30">
        <f>I260</f>
        <v>0</v>
      </c>
    </row>
    <row r="260" spans="1:9" ht="15.75">
      <c r="A260" s="185" t="s">
        <v>155</v>
      </c>
      <c r="B260" s="84" t="s">
        <v>202</v>
      </c>
      <c r="C260" s="29" t="s">
        <v>122</v>
      </c>
      <c r="D260" s="29" t="s">
        <v>114</v>
      </c>
      <c r="E260" s="29" t="s">
        <v>241</v>
      </c>
      <c r="F260" s="28"/>
      <c r="G260" s="69" t="s">
        <v>156</v>
      </c>
      <c r="H260" s="121">
        <v>8765.5</v>
      </c>
      <c r="I260" s="39"/>
    </row>
    <row r="261" spans="1:9" s="3" customFormat="1" ht="15.75">
      <c r="A261" s="47" t="s">
        <v>18</v>
      </c>
      <c r="B261" s="84" t="s">
        <v>202</v>
      </c>
      <c r="C261" s="29" t="s">
        <v>122</v>
      </c>
      <c r="D261" s="29" t="s">
        <v>114</v>
      </c>
      <c r="E261" s="29" t="s">
        <v>132</v>
      </c>
      <c r="F261" s="28"/>
      <c r="G261" s="69"/>
      <c r="H261" s="121">
        <f>H263+H262</f>
        <v>337089.4</v>
      </c>
      <c r="I261" s="30">
        <f>I263+I262</f>
        <v>90</v>
      </c>
    </row>
    <row r="262" spans="1:9" s="3" customFormat="1" ht="15.75">
      <c r="A262" s="114" t="s">
        <v>103</v>
      </c>
      <c r="B262" s="84" t="s">
        <v>202</v>
      </c>
      <c r="C262" s="29" t="s">
        <v>122</v>
      </c>
      <c r="D262" s="29" t="s">
        <v>114</v>
      </c>
      <c r="E262" s="29" t="s">
        <v>132</v>
      </c>
      <c r="F262" s="28"/>
      <c r="G262" s="92" t="s">
        <v>56</v>
      </c>
      <c r="H262" s="121">
        <v>14</v>
      </c>
      <c r="I262" s="50"/>
    </row>
    <row r="263" spans="1:9" ht="15.75">
      <c r="A263" s="185" t="s">
        <v>155</v>
      </c>
      <c r="B263" s="140" t="s">
        <v>202</v>
      </c>
      <c r="C263" s="137" t="s">
        <v>122</v>
      </c>
      <c r="D263" s="137" t="s">
        <v>114</v>
      </c>
      <c r="E263" s="137" t="s">
        <v>132</v>
      </c>
      <c r="F263" s="138"/>
      <c r="G263" s="141" t="s">
        <v>156</v>
      </c>
      <c r="H263" s="190">
        <f>330024.7+1195.7+3500+2265+90</f>
        <v>337075.4</v>
      </c>
      <c r="I263" s="66">
        <v>90</v>
      </c>
    </row>
    <row r="264" spans="1:9" ht="15.75">
      <c r="A264" s="112" t="s">
        <v>230</v>
      </c>
      <c r="B264" s="91" t="s">
        <v>202</v>
      </c>
      <c r="C264" s="49" t="s">
        <v>122</v>
      </c>
      <c r="D264" s="91" t="s">
        <v>114</v>
      </c>
      <c r="E264" s="49" t="s">
        <v>229</v>
      </c>
      <c r="F264" s="48"/>
      <c r="G264" s="132"/>
      <c r="H264" s="312">
        <f>H265</f>
        <v>99.8</v>
      </c>
      <c r="I264" s="147"/>
    </row>
    <row r="265" spans="1:9" ht="37.5" customHeight="1">
      <c r="A265" s="111" t="s">
        <v>390</v>
      </c>
      <c r="B265" s="84" t="s">
        <v>202</v>
      </c>
      <c r="C265" s="29" t="s">
        <v>122</v>
      </c>
      <c r="D265" s="91" t="s">
        <v>114</v>
      </c>
      <c r="E265" s="29" t="s">
        <v>387</v>
      </c>
      <c r="F265" s="28"/>
      <c r="G265" s="58"/>
      <c r="H265" s="190">
        <f>H266</f>
        <v>99.8</v>
      </c>
      <c r="I265" s="143"/>
    </row>
    <row r="266" spans="1:9" ht="15.75">
      <c r="A266" s="112" t="s">
        <v>391</v>
      </c>
      <c r="B266" s="84" t="s">
        <v>202</v>
      </c>
      <c r="C266" s="29" t="s">
        <v>122</v>
      </c>
      <c r="D266" s="91" t="s">
        <v>114</v>
      </c>
      <c r="E266" s="29" t="s">
        <v>388</v>
      </c>
      <c r="F266" s="28"/>
      <c r="G266" s="58"/>
      <c r="H266" s="190">
        <f>H267</f>
        <v>99.8</v>
      </c>
      <c r="I266" s="143"/>
    </row>
    <row r="267" spans="1:9" ht="15.75">
      <c r="A267" s="270" t="s">
        <v>326</v>
      </c>
      <c r="B267" s="84" t="s">
        <v>202</v>
      </c>
      <c r="C267" s="29" t="s">
        <v>122</v>
      </c>
      <c r="D267" s="91" t="s">
        <v>114</v>
      </c>
      <c r="E267" s="29" t="s">
        <v>388</v>
      </c>
      <c r="F267" s="28"/>
      <c r="G267" s="58" t="s">
        <v>323</v>
      </c>
      <c r="H267" s="190">
        <v>99.8</v>
      </c>
      <c r="I267" s="143"/>
    </row>
    <row r="268" spans="1:9" ht="15.75">
      <c r="A268" s="53" t="s">
        <v>7</v>
      </c>
      <c r="B268" s="96" t="s">
        <v>202</v>
      </c>
      <c r="C268" s="64" t="s">
        <v>122</v>
      </c>
      <c r="D268" s="64" t="s">
        <v>115</v>
      </c>
      <c r="E268" s="33"/>
      <c r="F268" s="32"/>
      <c r="G268" s="123"/>
      <c r="H268" s="164">
        <f>H269+H284+H290+H296</f>
        <v>503351.7</v>
      </c>
      <c r="I268" s="210">
        <f>I269+I284+I290+I296</f>
        <v>356693</v>
      </c>
    </row>
    <row r="269" spans="1:9" ht="29.25">
      <c r="A269" s="113" t="s">
        <v>190</v>
      </c>
      <c r="B269" s="89" t="s">
        <v>202</v>
      </c>
      <c r="C269" s="38" t="s">
        <v>122</v>
      </c>
      <c r="D269" s="38" t="s">
        <v>115</v>
      </c>
      <c r="E269" s="38" t="s">
        <v>19</v>
      </c>
      <c r="F269" s="37"/>
      <c r="G269" s="69"/>
      <c r="H269" s="121">
        <f>H270+H279+H281+H276+H274</f>
        <v>390800.5</v>
      </c>
      <c r="I269" s="30">
        <f>I270+I279+I281+I276+I274</f>
        <v>321948</v>
      </c>
    </row>
    <row r="270" spans="1:9" ht="143.25">
      <c r="A270" s="113" t="s">
        <v>335</v>
      </c>
      <c r="B270" s="89" t="s">
        <v>202</v>
      </c>
      <c r="C270" s="38" t="s">
        <v>122</v>
      </c>
      <c r="D270" s="38" t="s">
        <v>115</v>
      </c>
      <c r="E270" s="38" t="s">
        <v>328</v>
      </c>
      <c r="F270" s="37"/>
      <c r="G270" s="69"/>
      <c r="H270" s="121">
        <f>H272+H273+H271</f>
        <v>296227.8</v>
      </c>
      <c r="I270" s="30">
        <f>I272+I273+I271</f>
        <v>296209</v>
      </c>
    </row>
    <row r="271" spans="1:9" ht="15.75">
      <c r="A271" s="185" t="s">
        <v>155</v>
      </c>
      <c r="B271" s="89" t="s">
        <v>202</v>
      </c>
      <c r="C271" s="38" t="s">
        <v>122</v>
      </c>
      <c r="D271" s="38" t="s">
        <v>115</v>
      </c>
      <c r="E271" s="38" t="s">
        <v>328</v>
      </c>
      <c r="F271" s="37"/>
      <c r="G271" s="69" t="s">
        <v>156</v>
      </c>
      <c r="H271" s="121">
        <f>1639-862</f>
        <v>777</v>
      </c>
      <c r="I271" s="30">
        <f>1639-862</f>
        <v>777</v>
      </c>
    </row>
    <row r="272" spans="1:9" ht="15.75">
      <c r="A272" s="270" t="s">
        <v>326</v>
      </c>
      <c r="B272" s="89" t="s">
        <v>202</v>
      </c>
      <c r="C272" s="38" t="s">
        <v>122</v>
      </c>
      <c r="D272" s="38" t="s">
        <v>115</v>
      </c>
      <c r="E272" s="38" t="s">
        <v>328</v>
      </c>
      <c r="F272" s="37"/>
      <c r="G272" s="69" t="s">
        <v>323</v>
      </c>
      <c r="H272" s="121">
        <f>64237-9889+18.8</f>
        <v>54366.8</v>
      </c>
      <c r="I272" s="30">
        <f>64237-9889</f>
        <v>54348</v>
      </c>
    </row>
    <row r="273" spans="1:9" ht="15.75">
      <c r="A273" s="270" t="s">
        <v>327</v>
      </c>
      <c r="B273" s="89" t="s">
        <v>202</v>
      </c>
      <c r="C273" s="38" t="s">
        <v>122</v>
      </c>
      <c r="D273" s="38" t="s">
        <v>115</v>
      </c>
      <c r="E273" s="38" t="s">
        <v>328</v>
      </c>
      <c r="F273" s="37"/>
      <c r="G273" s="69" t="s">
        <v>324</v>
      </c>
      <c r="H273" s="121">
        <v>241084</v>
      </c>
      <c r="I273" s="39">
        <v>241084</v>
      </c>
    </row>
    <row r="274" spans="1:9" ht="143.25">
      <c r="A274" s="113" t="s">
        <v>381</v>
      </c>
      <c r="B274" s="89" t="s">
        <v>202</v>
      </c>
      <c r="C274" s="38" t="s">
        <v>122</v>
      </c>
      <c r="D274" s="38" t="s">
        <v>115</v>
      </c>
      <c r="E274" s="38" t="s">
        <v>380</v>
      </c>
      <c r="F274" s="37"/>
      <c r="G274" s="69"/>
      <c r="H274" s="121">
        <f>H275</f>
        <v>8250</v>
      </c>
      <c r="I274" s="30">
        <f>I275</f>
        <v>8250</v>
      </c>
    </row>
    <row r="275" spans="1:9" ht="15.75">
      <c r="A275" s="270" t="s">
        <v>330</v>
      </c>
      <c r="B275" s="89" t="s">
        <v>202</v>
      </c>
      <c r="C275" s="38" t="s">
        <v>122</v>
      </c>
      <c r="D275" s="38" t="s">
        <v>115</v>
      </c>
      <c r="E275" s="38" t="s">
        <v>380</v>
      </c>
      <c r="F275" s="37"/>
      <c r="G275" s="69" t="s">
        <v>329</v>
      </c>
      <c r="H275" s="121">
        <f>8250</f>
        <v>8250</v>
      </c>
      <c r="I275" s="30">
        <f>8250</f>
        <v>8250</v>
      </c>
    </row>
    <row r="276" spans="1:9" ht="57.75">
      <c r="A276" s="201" t="s">
        <v>334</v>
      </c>
      <c r="B276" s="89" t="s">
        <v>202</v>
      </c>
      <c r="C276" s="38" t="s">
        <v>122</v>
      </c>
      <c r="D276" s="38" t="s">
        <v>115</v>
      </c>
      <c r="E276" s="38" t="s">
        <v>331</v>
      </c>
      <c r="F276" s="37"/>
      <c r="G276" s="69"/>
      <c r="H276" s="121">
        <f>H277+H278</f>
        <v>16519.199999999997</v>
      </c>
      <c r="I276" s="50">
        <f>I277+I278</f>
        <v>16519</v>
      </c>
    </row>
    <row r="277" spans="1:9" ht="15.75">
      <c r="A277" s="270" t="s">
        <v>326</v>
      </c>
      <c r="B277" s="89" t="s">
        <v>202</v>
      </c>
      <c r="C277" s="38" t="s">
        <v>122</v>
      </c>
      <c r="D277" s="38" t="s">
        <v>115</v>
      </c>
      <c r="E277" s="38" t="s">
        <v>331</v>
      </c>
      <c r="F277" s="37"/>
      <c r="G277" s="69" t="s">
        <v>323</v>
      </c>
      <c r="H277" s="121">
        <f>3345.2+0.2</f>
        <v>3345.3999999999996</v>
      </c>
      <c r="I277" s="50">
        <v>3345.2</v>
      </c>
    </row>
    <row r="278" spans="1:9" ht="15.75">
      <c r="A278" s="270" t="s">
        <v>327</v>
      </c>
      <c r="B278" s="89" t="s">
        <v>202</v>
      </c>
      <c r="C278" s="38" t="s">
        <v>122</v>
      </c>
      <c r="D278" s="38" t="s">
        <v>115</v>
      </c>
      <c r="E278" s="38" t="s">
        <v>331</v>
      </c>
      <c r="F278" s="37"/>
      <c r="G278" s="69" t="s">
        <v>324</v>
      </c>
      <c r="H278" s="121">
        <v>13173.8</v>
      </c>
      <c r="I278" s="30">
        <v>13173.8</v>
      </c>
    </row>
    <row r="279" spans="1:9" ht="15.75">
      <c r="A279" s="184" t="s">
        <v>239</v>
      </c>
      <c r="B279" s="89" t="s">
        <v>202</v>
      </c>
      <c r="C279" s="38" t="s">
        <v>122</v>
      </c>
      <c r="D279" s="38" t="s">
        <v>115</v>
      </c>
      <c r="E279" s="38" t="s">
        <v>242</v>
      </c>
      <c r="F279" s="37"/>
      <c r="G279" s="69"/>
      <c r="H279" s="121">
        <f>H280</f>
        <v>5020.2</v>
      </c>
      <c r="I279" s="30">
        <f>I280</f>
        <v>0</v>
      </c>
    </row>
    <row r="280" spans="1:9" ht="15.75">
      <c r="A280" s="185" t="s">
        <v>155</v>
      </c>
      <c r="B280" s="89" t="s">
        <v>202</v>
      </c>
      <c r="C280" s="38" t="s">
        <v>122</v>
      </c>
      <c r="D280" s="38" t="s">
        <v>115</v>
      </c>
      <c r="E280" s="38" t="s">
        <v>242</v>
      </c>
      <c r="F280" s="37"/>
      <c r="G280" s="69" t="s">
        <v>156</v>
      </c>
      <c r="H280" s="121">
        <f>9715.9-3500-1195.7</f>
        <v>5020.2</v>
      </c>
      <c r="I280" s="30"/>
    </row>
    <row r="281" spans="1:9" s="3" customFormat="1" ht="15.75">
      <c r="A281" s="47" t="s">
        <v>18</v>
      </c>
      <c r="B281" s="89" t="s">
        <v>202</v>
      </c>
      <c r="C281" s="38" t="s">
        <v>122</v>
      </c>
      <c r="D281" s="38" t="s">
        <v>115</v>
      </c>
      <c r="E281" s="38" t="s">
        <v>133</v>
      </c>
      <c r="F281" s="37"/>
      <c r="G281" s="69"/>
      <c r="H281" s="121">
        <f>H283+H282</f>
        <v>64783.3</v>
      </c>
      <c r="I281" s="30">
        <f>I283</f>
        <v>970</v>
      </c>
    </row>
    <row r="282" spans="1:9" s="3" customFormat="1" ht="15.75">
      <c r="A282" s="114" t="s">
        <v>103</v>
      </c>
      <c r="B282" s="89" t="s">
        <v>202</v>
      </c>
      <c r="C282" s="38" t="s">
        <v>122</v>
      </c>
      <c r="D282" s="38" t="s">
        <v>115</v>
      </c>
      <c r="E282" s="38" t="s">
        <v>133</v>
      </c>
      <c r="F282" s="37"/>
      <c r="G282" s="69" t="s">
        <v>56</v>
      </c>
      <c r="H282" s="121">
        <v>441.3</v>
      </c>
      <c r="I282" s="30"/>
    </row>
    <row r="283" spans="1:9" ht="15.75">
      <c r="A283" s="185" t="s">
        <v>155</v>
      </c>
      <c r="B283" s="140" t="s">
        <v>202</v>
      </c>
      <c r="C283" s="137" t="s">
        <v>122</v>
      </c>
      <c r="D283" s="137" t="s">
        <v>115</v>
      </c>
      <c r="E283" s="137" t="s">
        <v>133</v>
      </c>
      <c r="F283" s="138"/>
      <c r="G283" s="141" t="s">
        <v>156</v>
      </c>
      <c r="H283" s="190">
        <f>63372+305321+16519-305321-16519-1195.7+330+330+70+90+150+1195.7</f>
        <v>64342</v>
      </c>
      <c r="I283" s="66">
        <f>330+330+70+90+150</f>
        <v>970</v>
      </c>
    </row>
    <row r="284" spans="1:9" ht="15.75">
      <c r="A284" s="114" t="s">
        <v>21</v>
      </c>
      <c r="B284" s="84" t="s">
        <v>202</v>
      </c>
      <c r="C284" s="29" t="s">
        <v>122</v>
      </c>
      <c r="D284" s="29" t="s">
        <v>115</v>
      </c>
      <c r="E284" s="29" t="s">
        <v>22</v>
      </c>
      <c r="F284" s="28"/>
      <c r="G284" s="69"/>
      <c r="H284" s="121">
        <f>H285+H287</f>
        <v>77856.2</v>
      </c>
      <c r="I284" s="30">
        <f>I285+I287</f>
        <v>50</v>
      </c>
    </row>
    <row r="285" spans="1:9" ht="15.75">
      <c r="A285" s="184" t="s">
        <v>239</v>
      </c>
      <c r="B285" s="67" t="s">
        <v>202</v>
      </c>
      <c r="C285" s="63" t="s">
        <v>122</v>
      </c>
      <c r="D285" s="63" t="s">
        <v>115</v>
      </c>
      <c r="E285" s="63" t="s">
        <v>243</v>
      </c>
      <c r="F285" s="43"/>
      <c r="G285" s="87"/>
      <c r="H285" s="272">
        <f>H286</f>
        <v>224.9</v>
      </c>
      <c r="I285" s="68">
        <f>I286</f>
        <v>0</v>
      </c>
    </row>
    <row r="286" spans="1:9" ht="15.75">
      <c r="A286" s="185" t="s">
        <v>155</v>
      </c>
      <c r="B286" s="84" t="s">
        <v>202</v>
      </c>
      <c r="C286" s="29" t="s">
        <v>122</v>
      </c>
      <c r="D286" s="29" t="s">
        <v>115</v>
      </c>
      <c r="E286" s="29" t="s">
        <v>243</v>
      </c>
      <c r="F286" s="28"/>
      <c r="G286" s="69" t="s">
        <v>156</v>
      </c>
      <c r="H286" s="121">
        <v>224.9</v>
      </c>
      <c r="I286" s="30"/>
    </row>
    <row r="287" spans="1:9" ht="15.75">
      <c r="A287" s="108" t="s">
        <v>18</v>
      </c>
      <c r="B287" s="84" t="s">
        <v>202</v>
      </c>
      <c r="C287" s="29" t="s">
        <v>122</v>
      </c>
      <c r="D287" s="29" t="s">
        <v>115</v>
      </c>
      <c r="E287" s="29" t="s">
        <v>134</v>
      </c>
      <c r="F287" s="28"/>
      <c r="G287" s="69"/>
      <c r="H287" s="121">
        <f>H289+H288</f>
        <v>77631.3</v>
      </c>
      <c r="I287" s="30">
        <f>I289</f>
        <v>50</v>
      </c>
    </row>
    <row r="288" spans="1:9" ht="15.75">
      <c r="A288" s="114" t="s">
        <v>103</v>
      </c>
      <c r="B288" s="67" t="s">
        <v>202</v>
      </c>
      <c r="C288" s="49" t="s">
        <v>122</v>
      </c>
      <c r="D288" s="49" t="s">
        <v>115</v>
      </c>
      <c r="E288" s="63" t="s">
        <v>134</v>
      </c>
      <c r="F288" s="43"/>
      <c r="G288" s="92" t="s">
        <v>56</v>
      </c>
      <c r="H288" s="120">
        <v>31.7</v>
      </c>
      <c r="I288" s="68"/>
    </row>
    <row r="289" spans="1:9" ht="15.75">
      <c r="A289" s="185" t="s">
        <v>155</v>
      </c>
      <c r="B289" s="89" t="s">
        <v>202</v>
      </c>
      <c r="C289" s="29" t="s">
        <v>122</v>
      </c>
      <c r="D289" s="29" t="s">
        <v>115</v>
      </c>
      <c r="E289" s="38" t="s">
        <v>134</v>
      </c>
      <c r="F289" s="43"/>
      <c r="G289" s="69" t="s">
        <v>156</v>
      </c>
      <c r="H289" s="121">
        <f>77549.6+50</f>
        <v>77599.6</v>
      </c>
      <c r="I289" s="30">
        <v>50</v>
      </c>
    </row>
    <row r="290" spans="1:9" ht="15.75">
      <c r="A290" s="270" t="s">
        <v>325</v>
      </c>
      <c r="B290" s="89" t="s">
        <v>202</v>
      </c>
      <c r="C290" s="29" t="s">
        <v>122</v>
      </c>
      <c r="D290" s="29" t="s">
        <v>115</v>
      </c>
      <c r="E290" s="38" t="s">
        <v>322</v>
      </c>
      <c r="F290" s="43"/>
      <c r="G290" s="69"/>
      <c r="H290" s="121">
        <f>H291+H294</f>
        <v>27930</v>
      </c>
      <c r="I290" s="30">
        <f>I291+I294</f>
        <v>27930</v>
      </c>
    </row>
    <row r="291" spans="1:9" ht="29.25">
      <c r="A291" s="201" t="s">
        <v>436</v>
      </c>
      <c r="B291" s="89" t="s">
        <v>202</v>
      </c>
      <c r="C291" s="29" t="s">
        <v>122</v>
      </c>
      <c r="D291" s="29" t="s">
        <v>115</v>
      </c>
      <c r="E291" s="38" t="s">
        <v>435</v>
      </c>
      <c r="F291" s="43"/>
      <c r="G291" s="69"/>
      <c r="H291" s="121">
        <f>H292+H293</f>
        <v>263</v>
      </c>
      <c r="I291" s="39">
        <f>I292+I293</f>
        <v>263</v>
      </c>
    </row>
    <row r="292" spans="1:9" ht="15.75">
      <c r="A292" s="270" t="s">
        <v>326</v>
      </c>
      <c r="B292" s="89" t="s">
        <v>202</v>
      </c>
      <c r="C292" s="29" t="s">
        <v>122</v>
      </c>
      <c r="D292" s="29" t="s">
        <v>115</v>
      </c>
      <c r="E292" s="38" t="s">
        <v>435</v>
      </c>
      <c r="F292" s="43"/>
      <c r="G292" s="69" t="s">
        <v>323</v>
      </c>
      <c r="H292" s="121">
        <f>105</f>
        <v>105</v>
      </c>
      <c r="I292" s="30">
        <f>105</f>
        <v>105</v>
      </c>
    </row>
    <row r="293" spans="1:9" ht="15.75">
      <c r="A293" s="270" t="s">
        <v>327</v>
      </c>
      <c r="B293" s="89" t="s">
        <v>202</v>
      </c>
      <c r="C293" s="29" t="s">
        <v>122</v>
      </c>
      <c r="D293" s="29" t="s">
        <v>115</v>
      </c>
      <c r="E293" s="38" t="s">
        <v>435</v>
      </c>
      <c r="F293" s="43"/>
      <c r="G293" s="69" t="s">
        <v>324</v>
      </c>
      <c r="H293" s="121">
        <f>158</f>
        <v>158</v>
      </c>
      <c r="I293" s="30">
        <f>158</f>
        <v>158</v>
      </c>
    </row>
    <row r="294" spans="1:9" ht="15.75">
      <c r="A294" s="139" t="s">
        <v>414</v>
      </c>
      <c r="B294" s="89" t="s">
        <v>202</v>
      </c>
      <c r="C294" s="29" t="s">
        <v>122</v>
      </c>
      <c r="D294" s="29" t="s">
        <v>115</v>
      </c>
      <c r="E294" s="38" t="s">
        <v>413</v>
      </c>
      <c r="F294" s="43"/>
      <c r="G294" s="69"/>
      <c r="H294" s="121">
        <f>H295</f>
        <v>27667</v>
      </c>
      <c r="I294" s="50">
        <f>I295</f>
        <v>27667</v>
      </c>
    </row>
    <row r="295" spans="1:9" ht="15.75">
      <c r="A295" s="186" t="s">
        <v>330</v>
      </c>
      <c r="B295" s="89" t="s">
        <v>202</v>
      </c>
      <c r="C295" s="29" t="s">
        <v>122</v>
      </c>
      <c r="D295" s="29" t="s">
        <v>115</v>
      </c>
      <c r="E295" s="38" t="s">
        <v>413</v>
      </c>
      <c r="F295" s="43"/>
      <c r="G295" s="69" t="s">
        <v>329</v>
      </c>
      <c r="H295" s="121">
        <v>27667</v>
      </c>
      <c r="I295" s="30">
        <v>27667</v>
      </c>
    </row>
    <row r="296" spans="1:9" ht="15.75">
      <c r="A296" s="109" t="s">
        <v>79</v>
      </c>
      <c r="B296" s="89" t="s">
        <v>202</v>
      </c>
      <c r="C296" s="29" t="s">
        <v>122</v>
      </c>
      <c r="D296" s="29" t="s">
        <v>115</v>
      </c>
      <c r="E296" s="38" t="s">
        <v>63</v>
      </c>
      <c r="F296" s="43"/>
      <c r="G296" s="69"/>
      <c r="H296" s="121">
        <f>H297+H300</f>
        <v>6765</v>
      </c>
      <c r="I296" s="30">
        <f>I297+I300</f>
        <v>6765</v>
      </c>
    </row>
    <row r="297" spans="1:9" ht="29.25">
      <c r="A297" s="113" t="s">
        <v>187</v>
      </c>
      <c r="B297" s="89" t="s">
        <v>202</v>
      </c>
      <c r="C297" s="29" t="s">
        <v>122</v>
      </c>
      <c r="D297" s="29" t="s">
        <v>115</v>
      </c>
      <c r="E297" s="38" t="s">
        <v>188</v>
      </c>
      <c r="F297" s="43"/>
      <c r="G297" s="69"/>
      <c r="H297" s="121">
        <f>H298+H299</f>
        <v>4765</v>
      </c>
      <c r="I297" s="30">
        <f>I298+I299</f>
        <v>4765</v>
      </c>
    </row>
    <row r="298" spans="1:9" ht="15.75">
      <c r="A298" s="270" t="s">
        <v>326</v>
      </c>
      <c r="B298" s="134" t="s">
        <v>202</v>
      </c>
      <c r="C298" s="137" t="s">
        <v>122</v>
      </c>
      <c r="D298" s="135" t="s">
        <v>115</v>
      </c>
      <c r="E298" s="135" t="s">
        <v>188</v>
      </c>
      <c r="F298" s="142"/>
      <c r="G298" s="141" t="s">
        <v>323</v>
      </c>
      <c r="H298" s="190">
        <v>822.2</v>
      </c>
      <c r="I298" s="143">
        <v>822.2</v>
      </c>
    </row>
    <row r="299" spans="1:9" ht="15.75">
      <c r="A299" s="139" t="s">
        <v>327</v>
      </c>
      <c r="B299" s="134" t="s">
        <v>202</v>
      </c>
      <c r="C299" s="137" t="s">
        <v>122</v>
      </c>
      <c r="D299" s="135" t="s">
        <v>115</v>
      </c>
      <c r="E299" s="135" t="s">
        <v>188</v>
      </c>
      <c r="F299" s="142"/>
      <c r="G299" s="271" t="s">
        <v>324</v>
      </c>
      <c r="H299" s="274">
        <f>3864.8+78</f>
        <v>3942.8</v>
      </c>
      <c r="I299" s="66">
        <f>3864.8+78</f>
        <v>3942.8</v>
      </c>
    </row>
    <row r="300" spans="1:9" ht="15.75">
      <c r="A300" s="112" t="s">
        <v>230</v>
      </c>
      <c r="B300" s="134" t="s">
        <v>202</v>
      </c>
      <c r="C300" s="137" t="s">
        <v>122</v>
      </c>
      <c r="D300" s="135" t="s">
        <v>115</v>
      </c>
      <c r="E300" s="135" t="s">
        <v>229</v>
      </c>
      <c r="F300" s="142"/>
      <c r="G300" s="271"/>
      <c r="H300" s="190">
        <f>H301+H304</f>
        <v>2000</v>
      </c>
      <c r="I300" s="237">
        <f>I301+I304</f>
        <v>2000</v>
      </c>
    </row>
    <row r="301" spans="1:9" ht="37.5" customHeight="1">
      <c r="A301" s="201" t="s">
        <v>390</v>
      </c>
      <c r="B301" s="134" t="s">
        <v>202</v>
      </c>
      <c r="C301" s="137" t="s">
        <v>122</v>
      </c>
      <c r="D301" s="135" t="s">
        <v>115</v>
      </c>
      <c r="E301" s="135" t="s">
        <v>387</v>
      </c>
      <c r="F301" s="142"/>
      <c r="G301" s="271"/>
      <c r="H301" s="190">
        <f>H302</f>
        <v>1000</v>
      </c>
      <c r="I301" s="66">
        <f>I302</f>
        <v>1000</v>
      </c>
    </row>
    <row r="302" spans="1:9" ht="72">
      <c r="A302" s="201" t="s">
        <v>409</v>
      </c>
      <c r="B302" s="134" t="s">
        <v>202</v>
      </c>
      <c r="C302" s="137" t="s">
        <v>122</v>
      </c>
      <c r="D302" s="135" t="s">
        <v>115</v>
      </c>
      <c r="E302" s="135" t="s">
        <v>408</v>
      </c>
      <c r="F302" s="142"/>
      <c r="G302" s="271"/>
      <c r="H302" s="190">
        <f>H303</f>
        <v>1000</v>
      </c>
      <c r="I302" s="237">
        <f>I303</f>
        <v>1000</v>
      </c>
    </row>
    <row r="303" spans="1:9" ht="15.75">
      <c r="A303" s="270" t="s">
        <v>330</v>
      </c>
      <c r="B303" s="134" t="s">
        <v>202</v>
      </c>
      <c r="C303" s="137" t="s">
        <v>122</v>
      </c>
      <c r="D303" s="135" t="s">
        <v>115</v>
      </c>
      <c r="E303" s="135" t="s">
        <v>408</v>
      </c>
      <c r="F303" s="142"/>
      <c r="G303" s="271" t="s">
        <v>329</v>
      </c>
      <c r="H303" s="190">
        <v>1000</v>
      </c>
      <c r="I303" s="66">
        <v>1000</v>
      </c>
    </row>
    <row r="304" spans="1:9" ht="57.75">
      <c r="A304" s="201" t="s">
        <v>411</v>
      </c>
      <c r="B304" s="134" t="s">
        <v>202</v>
      </c>
      <c r="C304" s="137" t="s">
        <v>122</v>
      </c>
      <c r="D304" s="135" t="s">
        <v>115</v>
      </c>
      <c r="E304" s="135" t="s">
        <v>410</v>
      </c>
      <c r="F304" s="142"/>
      <c r="G304" s="271"/>
      <c r="H304" s="190">
        <f>H305</f>
        <v>1000</v>
      </c>
      <c r="I304" s="66">
        <f>I305</f>
        <v>1000</v>
      </c>
    </row>
    <row r="305" spans="1:9" ht="72">
      <c r="A305" s="201" t="s">
        <v>416</v>
      </c>
      <c r="B305" s="134" t="s">
        <v>202</v>
      </c>
      <c r="C305" s="137" t="s">
        <v>122</v>
      </c>
      <c r="D305" s="135" t="s">
        <v>115</v>
      </c>
      <c r="E305" s="135" t="s">
        <v>412</v>
      </c>
      <c r="F305" s="142"/>
      <c r="G305" s="271"/>
      <c r="H305" s="190">
        <f>H306</f>
        <v>1000</v>
      </c>
      <c r="I305" s="66">
        <f>I306</f>
        <v>1000</v>
      </c>
    </row>
    <row r="306" spans="1:9" ht="15.75">
      <c r="A306" s="270" t="s">
        <v>330</v>
      </c>
      <c r="B306" s="134" t="s">
        <v>202</v>
      </c>
      <c r="C306" s="137" t="s">
        <v>122</v>
      </c>
      <c r="D306" s="135" t="s">
        <v>115</v>
      </c>
      <c r="E306" s="135" t="s">
        <v>412</v>
      </c>
      <c r="F306" s="142"/>
      <c r="G306" s="271" t="s">
        <v>329</v>
      </c>
      <c r="H306" s="190">
        <v>1000</v>
      </c>
      <c r="I306" s="66">
        <v>1000</v>
      </c>
    </row>
    <row r="307" spans="1:9" ht="15.75">
      <c r="A307" s="53" t="s">
        <v>20</v>
      </c>
      <c r="B307" s="281" t="s">
        <v>202</v>
      </c>
      <c r="C307" s="282" t="s">
        <v>122</v>
      </c>
      <c r="D307" s="283"/>
      <c r="E307" s="283"/>
      <c r="F307" s="284"/>
      <c r="G307" s="285"/>
      <c r="H307" s="322">
        <f>H317+H308</f>
        <v>8101</v>
      </c>
      <c r="I307" s="323">
        <f>I317+I308</f>
        <v>4574</v>
      </c>
    </row>
    <row r="308" spans="1:9" ht="23.25" customHeight="1">
      <c r="A308" s="110" t="s">
        <v>383</v>
      </c>
      <c r="B308" s="134" t="s">
        <v>202</v>
      </c>
      <c r="C308" s="239" t="s">
        <v>122</v>
      </c>
      <c r="D308" s="135" t="s">
        <v>122</v>
      </c>
      <c r="E308" s="135"/>
      <c r="F308" s="142"/>
      <c r="G308" s="271"/>
      <c r="H308" s="190">
        <f>H309</f>
        <v>4574</v>
      </c>
      <c r="I308" s="237">
        <f>I309</f>
        <v>4574</v>
      </c>
    </row>
    <row r="309" spans="1:9" ht="20.25" customHeight="1">
      <c r="A309" s="112" t="s">
        <v>230</v>
      </c>
      <c r="B309" s="134" t="s">
        <v>202</v>
      </c>
      <c r="C309" s="239" t="s">
        <v>122</v>
      </c>
      <c r="D309" s="135" t="s">
        <v>122</v>
      </c>
      <c r="E309" s="38" t="s">
        <v>229</v>
      </c>
      <c r="F309" s="142"/>
      <c r="G309" s="271"/>
      <c r="H309" s="274">
        <f>H310</f>
        <v>4574</v>
      </c>
      <c r="I309" s="143">
        <f>I310</f>
        <v>4574</v>
      </c>
    </row>
    <row r="310" spans="1:9" ht="43.5">
      <c r="A310" s="110" t="s">
        <v>424</v>
      </c>
      <c r="B310" s="134" t="s">
        <v>202</v>
      </c>
      <c r="C310" s="239" t="s">
        <v>122</v>
      </c>
      <c r="D310" s="135" t="s">
        <v>122</v>
      </c>
      <c r="E310" s="38" t="s">
        <v>423</v>
      </c>
      <c r="F310" s="142"/>
      <c r="G310" s="271"/>
      <c r="H310" s="190">
        <f>H311</f>
        <v>4574</v>
      </c>
      <c r="I310" s="143">
        <f>I312+I313+I314+I315</f>
        <v>4574</v>
      </c>
    </row>
    <row r="311" spans="1:9" ht="15.75">
      <c r="A311" s="110" t="s">
        <v>383</v>
      </c>
      <c r="B311" s="134" t="s">
        <v>202</v>
      </c>
      <c r="C311" s="239" t="s">
        <v>122</v>
      </c>
      <c r="D311" s="135" t="s">
        <v>122</v>
      </c>
      <c r="E311" s="38" t="s">
        <v>434</v>
      </c>
      <c r="F311" s="142"/>
      <c r="G311" s="271"/>
      <c r="H311" s="190">
        <f>H312+H313+H314+H315</f>
        <v>4574</v>
      </c>
      <c r="I311" s="66">
        <f>I312+I313+I314+I315</f>
        <v>4574</v>
      </c>
    </row>
    <row r="312" spans="1:9" ht="15.75">
      <c r="A312" s="108" t="s">
        <v>330</v>
      </c>
      <c r="B312" s="134" t="s">
        <v>202</v>
      </c>
      <c r="C312" s="239" t="s">
        <v>122</v>
      </c>
      <c r="D312" s="135" t="s">
        <v>122</v>
      </c>
      <c r="E312" s="38" t="s">
        <v>434</v>
      </c>
      <c r="F312" s="142"/>
      <c r="G312" s="271" t="s">
        <v>329</v>
      </c>
      <c r="H312" s="190">
        <f>2364.8-2138.7-156.8</f>
        <v>69.30000000000035</v>
      </c>
      <c r="I312" s="237">
        <f>2364.8-2138.7-156.8</f>
        <v>69.30000000000035</v>
      </c>
    </row>
    <row r="313" spans="1:9" ht="29.25">
      <c r="A313" s="113" t="s">
        <v>427</v>
      </c>
      <c r="B313" s="134" t="s">
        <v>202</v>
      </c>
      <c r="C313" s="239" t="s">
        <v>122</v>
      </c>
      <c r="D313" s="135" t="s">
        <v>122</v>
      </c>
      <c r="E313" s="38" t="s">
        <v>434</v>
      </c>
      <c r="F313" s="142"/>
      <c r="G313" s="271" t="s">
        <v>426</v>
      </c>
      <c r="H313" s="190">
        <f>2138.7-1202.1</f>
        <v>936.5999999999999</v>
      </c>
      <c r="I313" s="66">
        <f>2138.7-1202.1</f>
        <v>936.5999999999999</v>
      </c>
    </row>
    <row r="314" spans="1:9" ht="15.75">
      <c r="A314" s="270" t="s">
        <v>326</v>
      </c>
      <c r="B314" s="134" t="s">
        <v>202</v>
      </c>
      <c r="C314" s="239" t="s">
        <v>122</v>
      </c>
      <c r="D314" s="135" t="s">
        <v>122</v>
      </c>
      <c r="E314" s="38" t="s">
        <v>434</v>
      </c>
      <c r="F314" s="142"/>
      <c r="G314" s="271" t="s">
        <v>323</v>
      </c>
      <c r="H314" s="190">
        <f>552.3+156.8</f>
        <v>709.0999999999999</v>
      </c>
      <c r="I314" s="237">
        <f>552.3+156.8</f>
        <v>709.0999999999999</v>
      </c>
    </row>
    <row r="315" spans="1:9" ht="15.75">
      <c r="A315" s="139" t="s">
        <v>327</v>
      </c>
      <c r="B315" s="134" t="s">
        <v>202</v>
      </c>
      <c r="C315" s="239" t="s">
        <v>122</v>
      </c>
      <c r="D315" s="135" t="s">
        <v>122</v>
      </c>
      <c r="E315" s="38" t="s">
        <v>434</v>
      </c>
      <c r="F315" s="142"/>
      <c r="G315" s="271" t="s">
        <v>324</v>
      </c>
      <c r="H315" s="190">
        <f>1656.9+1202.1</f>
        <v>2859</v>
      </c>
      <c r="I315" s="66">
        <f>1656.9+1202.1</f>
        <v>2859</v>
      </c>
    </row>
    <row r="316" spans="1:9" ht="18.75" customHeight="1">
      <c r="A316" s="186" t="s">
        <v>152</v>
      </c>
      <c r="B316" s="134" t="s">
        <v>202</v>
      </c>
      <c r="C316" s="239" t="s">
        <v>122</v>
      </c>
      <c r="D316" s="135" t="s">
        <v>122</v>
      </c>
      <c r="E316" s="38" t="s">
        <v>386</v>
      </c>
      <c r="F316" s="142"/>
      <c r="G316" s="271" t="s">
        <v>158</v>
      </c>
      <c r="H316" s="312">
        <v>4574</v>
      </c>
      <c r="I316" s="237">
        <f>4574</f>
        <v>4574</v>
      </c>
    </row>
    <row r="317" spans="1:9" ht="15.75">
      <c r="A317" s="108" t="s">
        <v>83</v>
      </c>
      <c r="B317" s="89" t="s">
        <v>202</v>
      </c>
      <c r="C317" s="91" t="s">
        <v>122</v>
      </c>
      <c r="D317" s="38" t="s">
        <v>122</v>
      </c>
      <c r="E317" s="38" t="s">
        <v>84</v>
      </c>
      <c r="F317" s="43"/>
      <c r="G317" s="69"/>
      <c r="H317" s="190">
        <f>H318</f>
        <v>3527</v>
      </c>
      <c r="I317" s="66"/>
    </row>
    <row r="318" spans="1:9" ht="29.25">
      <c r="A318" s="167" t="s">
        <v>271</v>
      </c>
      <c r="B318" s="134" t="s">
        <v>202</v>
      </c>
      <c r="C318" s="137" t="s">
        <v>122</v>
      </c>
      <c r="D318" s="135" t="s">
        <v>122</v>
      </c>
      <c r="E318" s="135" t="s">
        <v>267</v>
      </c>
      <c r="F318" s="142"/>
      <c r="G318" s="271"/>
      <c r="H318" s="190">
        <f>H319+H320</f>
        <v>3527</v>
      </c>
      <c r="I318" s="66"/>
    </row>
    <row r="319" spans="1:9" ht="15.75">
      <c r="A319" s="185" t="s">
        <v>155</v>
      </c>
      <c r="B319" s="134" t="s">
        <v>202</v>
      </c>
      <c r="C319" s="137" t="s">
        <v>122</v>
      </c>
      <c r="D319" s="135" t="s">
        <v>122</v>
      </c>
      <c r="E319" s="135" t="s">
        <v>267</v>
      </c>
      <c r="F319" s="142"/>
      <c r="G319" s="271" t="s">
        <v>156</v>
      </c>
      <c r="H319" s="190">
        <f>2140+1100.4</f>
        <v>3240.4</v>
      </c>
      <c r="I319" s="66"/>
    </row>
    <row r="320" spans="1:9" ht="15.75">
      <c r="A320" s="186" t="s">
        <v>152</v>
      </c>
      <c r="B320" s="134" t="s">
        <v>202</v>
      </c>
      <c r="C320" s="137" t="s">
        <v>122</v>
      </c>
      <c r="D320" s="135" t="s">
        <v>122</v>
      </c>
      <c r="E320" s="135" t="s">
        <v>267</v>
      </c>
      <c r="F320" s="142"/>
      <c r="G320" s="271" t="s">
        <v>158</v>
      </c>
      <c r="H320" s="190">
        <v>286.6</v>
      </c>
      <c r="I320" s="66"/>
    </row>
    <row r="321" spans="1:9" ht="15.75">
      <c r="A321" s="53" t="s">
        <v>23</v>
      </c>
      <c r="B321" s="85" t="s">
        <v>202</v>
      </c>
      <c r="C321" s="33" t="s">
        <v>122</v>
      </c>
      <c r="D321" s="33" t="s">
        <v>120</v>
      </c>
      <c r="E321" s="33"/>
      <c r="F321" s="32"/>
      <c r="G321" s="123"/>
      <c r="H321" s="164">
        <f>H322+H325+H327+H334</f>
        <v>109454.8</v>
      </c>
      <c r="I321" s="34">
        <f>I322+I325+I327+I334</f>
        <v>18257.5</v>
      </c>
    </row>
    <row r="322" spans="1:9" s="3" customFormat="1" ht="15.75">
      <c r="A322" s="110" t="s">
        <v>95</v>
      </c>
      <c r="B322" s="84" t="s">
        <v>202</v>
      </c>
      <c r="C322" s="29" t="s">
        <v>122</v>
      </c>
      <c r="D322" s="29" t="s">
        <v>120</v>
      </c>
      <c r="E322" s="29" t="s">
        <v>157</v>
      </c>
      <c r="F322" s="28"/>
      <c r="G322" s="69"/>
      <c r="H322" s="121">
        <f>H323</f>
        <v>13838.4</v>
      </c>
      <c r="I322" s="30"/>
    </row>
    <row r="323" spans="1:9" ht="15.75">
      <c r="A323" s="112" t="s">
        <v>37</v>
      </c>
      <c r="B323" s="84" t="s">
        <v>202</v>
      </c>
      <c r="C323" s="29" t="s">
        <v>122</v>
      </c>
      <c r="D323" s="29" t="s">
        <v>120</v>
      </c>
      <c r="E323" s="29" t="s">
        <v>159</v>
      </c>
      <c r="F323" s="28"/>
      <c r="G323" s="69"/>
      <c r="H323" s="121">
        <f>H324</f>
        <v>13838.4</v>
      </c>
      <c r="I323" s="30">
        <f>I324</f>
        <v>0</v>
      </c>
    </row>
    <row r="324" spans="1:9" ht="15.75">
      <c r="A324" s="112" t="s">
        <v>152</v>
      </c>
      <c r="B324" s="84" t="s">
        <v>202</v>
      </c>
      <c r="C324" s="29" t="s">
        <v>122</v>
      </c>
      <c r="D324" s="29" t="s">
        <v>120</v>
      </c>
      <c r="E324" s="29" t="s">
        <v>159</v>
      </c>
      <c r="F324" s="28"/>
      <c r="G324" s="69" t="s">
        <v>158</v>
      </c>
      <c r="H324" s="121">
        <f>10372.8-546.7+3032.1+915.7+64.5</f>
        <v>13838.4</v>
      </c>
      <c r="I324" s="66"/>
    </row>
    <row r="325" spans="1:9" ht="100.5" customHeight="1">
      <c r="A325" s="113" t="s">
        <v>378</v>
      </c>
      <c r="B325" s="89" t="s">
        <v>202</v>
      </c>
      <c r="C325" s="29" t="s">
        <v>122</v>
      </c>
      <c r="D325" s="29" t="s">
        <v>120</v>
      </c>
      <c r="E325" s="38" t="s">
        <v>336</v>
      </c>
      <c r="F325" s="43"/>
      <c r="G325" s="69"/>
      <c r="H325" s="121">
        <f>H326</f>
        <v>17387</v>
      </c>
      <c r="I325" s="30">
        <f>I326</f>
        <v>17387</v>
      </c>
    </row>
    <row r="326" spans="1:9" ht="29.25">
      <c r="A326" s="167" t="s">
        <v>333</v>
      </c>
      <c r="B326" s="84" t="s">
        <v>202</v>
      </c>
      <c r="C326" s="29" t="s">
        <v>122</v>
      </c>
      <c r="D326" s="29" t="s">
        <v>120</v>
      </c>
      <c r="E326" s="38" t="s">
        <v>336</v>
      </c>
      <c r="F326" s="48"/>
      <c r="G326" s="69" t="s">
        <v>332</v>
      </c>
      <c r="H326" s="121">
        <v>17387</v>
      </c>
      <c r="I326" s="39">
        <v>17387</v>
      </c>
    </row>
    <row r="327" spans="1:9" ht="57.75">
      <c r="A327" s="113" t="s">
        <v>73</v>
      </c>
      <c r="B327" s="84" t="s">
        <v>202</v>
      </c>
      <c r="C327" s="29" t="s">
        <v>122</v>
      </c>
      <c r="D327" s="29" t="s">
        <v>120</v>
      </c>
      <c r="E327" s="29" t="s">
        <v>29</v>
      </c>
      <c r="F327" s="28"/>
      <c r="G327" s="69"/>
      <c r="H327" s="190">
        <f>H330+H332+H329</f>
        <v>26547.300000000003</v>
      </c>
      <c r="I327" s="66">
        <f>I330+I332+I329</f>
        <v>870.5</v>
      </c>
    </row>
    <row r="328" spans="1:9" ht="35.25" customHeight="1">
      <c r="A328" s="113" t="s">
        <v>372</v>
      </c>
      <c r="B328" s="84" t="s">
        <v>202</v>
      </c>
      <c r="C328" s="29" t="s">
        <v>122</v>
      </c>
      <c r="D328" s="29" t="s">
        <v>120</v>
      </c>
      <c r="E328" s="29" t="s">
        <v>371</v>
      </c>
      <c r="F328" s="37"/>
      <c r="G328" s="69"/>
      <c r="H328" s="274">
        <f>H329</f>
        <v>870.9</v>
      </c>
      <c r="I328" s="39">
        <f>I329</f>
        <v>870.5</v>
      </c>
    </row>
    <row r="329" spans="1:9" ht="15.75">
      <c r="A329" s="270" t="s">
        <v>326</v>
      </c>
      <c r="B329" s="84" t="s">
        <v>202</v>
      </c>
      <c r="C329" s="29" t="s">
        <v>122</v>
      </c>
      <c r="D329" s="29" t="s">
        <v>120</v>
      </c>
      <c r="E329" s="29" t="s">
        <v>371</v>
      </c>
      <c r="F329" s="37"/>
      <c r="G329" s="69" t="s">
        <v>323</v>
      </c>
      <c r="H329" s="274">
        <f>931+0.4-60.5</f>
        <v>870.9</v>
      </c>
      <c r="I329" s="143">
        <f>931-60.5</f>
        <v>870.5</v>
      </c>
    </row>
    <row r="330" spans="1:9" ht="15.75">
      <c r="A330" s="184" t="s">
        <v>239</v>
      </c>
      <c r="B330" s="84" t="s">
        <v>202</v>
      </c>
      <c r="C330" s="29" t="s">
        <v>122</v>
      </c>
      <c r="D330" s="29" t="s">
        <v>120</v>
      </c>
      <c r="E330" s="29" t="s">
        <v>244</v>
      </c>
      <c r="F330" s="37"/>
      <c r="G330" s="69"/>
      <c r="H330" s="165">
        <f>H331</f>
        <v>450</v>
      </c>
      <c r="I330" s="39">
        <f>I331</f>
        <v>0</v>
      </c>
    </row>
    <row r="331" spans="1:9" ht="15.75">
      <c r="A331" s="185" t="s">
        <v>155</v>
      </c>
      <c r="B331" s="84" t="s">
        <v>202</v>
      </c>
      <c r="C331" s="29" t="s">
        <v>122</v>
      </c>
      <c r="D331" s="29" t="s">
        <v>120</v>
      </c>
      <c r="E331" s="29" t="s">
        <v>244</v>
      </c>
      <c r="F331" s="37"/>
      <c r="G331" s="69" t="s">
        <v>156</v>
      </c>
      <c r="H331" s="165">
        <v>450</v>
      </c>
      <c r="I331" s="39"/>
    </row>
    <row r="332" spans="1:9" ht="15.75">
      <c r="A332" s="108" t="s">
        <v>18</v>
      </c>
      <c r="B332" s="89" t="s">
        <v>202</v>
      </c>
      <c r="C332" s="29" t="s">
        <v>122</v>
      </c>
      <c r="D332" s="29" t="s">
        <v>120</v>
      </c>
      <c r="E332" s="38" t="s">
        <v>135</v>
      </c>
      <c r="F332" s="37"/>
      <c r="G332" s="69"/>
      <c r="H332" s="165">
        <f>H333</f>
        <v>25226.4</v>
      </c>
      <c r="I332" s="39">
        <f>I333</f>
        <v>0</v>
      </c>
    </row>
    <row r="333" spans="1:9" ht="15.75">
      <c r="A333" s="185" t="s">
        <v>155</v>
      </c>
      <c r="B333" s="89" t="s">
        <v>202</v>
      </c>
      <c r="C333" s="29" t="s">
        <v>122</v>
      </c>
      <c r="D333" s="29" t="s">
        <v>120</v>
      </c>
      <c r="E333" s="38" t="s">
        <v>135</v>
      </c>
      <c r="F333" s="37"/>
      <c r="G333" s="69" t="s">
        <v>156</v>
      </c>
      <c r="H333" s="165">
        <f>23726.4+931-931-468+468+1500</f>
        <v>25226.4</v>
      </c>
      <c r="I333" s="143">
        <f>931-931</f>
        <v>0</v>
      </c>
    </row>
    <row r="334" spans="1:9" ht="20.25" customHeight="1">
      <c r="A334" s="108" t="s">
        <v>83</v>
      </c>
      <c r="B334" s="89" t="s">
        <v>202</v>
      </c>
      <c r="C334" s="29" t="s">
        <v>122</v>
      </c>
      <c r="D334" s="29" t="s">
        <v>120</v>
      </c>
      <c r="E334" s="38" t="s">
        <v>84</v>
      </c>
      <c r="F334" s="37"/>
      <c r="G334" s="69"/>
      <c r="H334" s="165">
        <f>H335+H338</f>
        <v>51682.1</v>
      </c>
      <c r="I334" s="39">
        <f>I335</f>
        <v>0</v>
      </c>
    </row>
    <row r="335" spans="1:9" ht="29.25">
      <c r="A335" s="167" t="s">
        <v>271</v>
      </c>
      <c r="B335" s="134" t="s">
        <v>202</v>
      </c>
      <c r="C335" s="137" t="s">
        <v>122</v>
      </c>
      <c r="D335" s="137" t="s">
        <v>120</v>
      </c>
      <c r="E335" s="29" t="s">
        <v>267</v>
      </c>
      <c r="F335" s="136"/>
      <c r="G335" s="141"/>
      <c r="H335" s="274">
        <f>H337+H336</f>
        <v>50416</v>
      </c>
      <c r="I335" s="143">
        <f>I337+I339</f>
        <v>0</v>
      </c>
    </row>
    <row r="336" spans="1:9" ht="15.75">
      <c r="A336" s="185" t="s">
        <v>155</v>
      </c>
      <c r="B336" s="134" t="s">
        <v>202</v>
      </c>
      <c r="C336" s="137" t="s">
        <v>122</v>
      </c>
      <c r="D336" s="137" t="s">
        <v>120</v>
      </c>
      <c r="E336" s="29" t="s">
        <v>267</v>
      </c>
      <c r="F336" s="136"/>
      <c r="G336" s="69" t="s">
        <v>156</v>
      </c>
      <c r="H336" s="274">
        <f>25672-581.9+10000+5000+4000</f>
        <v>44090.1</v>
      </c>
      <c r="I336" s="143"/>
    </row>
    <row r="337" spans="1:9" ht="17.25" customHeight="1">
      <c r="A337" s="186" t="s">
        <v>152</v>
      </c>
      <c r="B337" s="134" t="s">
        <v>202</v>
      </c>
      <c r="C337" s="137" t="s">
        <v>122</v>
      </c>
      <c r="D337" s="137" t="s">
        <v>120</v>
      </c>
      <c r="E337" s="29" t="s">
        <v>267</v>
      </c>
      <c r="F337" s="136"/>
      <c r="G337" s="141" t="s">
        <v>158</v>
      </c>
      <c r="H337" s="274">
        <f>42793-6750-500-600-2140-25672-805.1</f>
        <v>6325.9</v>
      </c>
      <c r="I337" s="133"/>
    </row>
    <row r="338" spans="1:9" ht="46.5" customHeight="1">
      <c r="A338" s="110" t="s">
        <v>233</v>
      </c>
      <c r="B338" s="89" t="s">
        <v>202</v>
      </c>
      <c r="C338" s="29" t="s">
        <v>122</v>
      </c>
      <c r="D338" s="29" t="s">
        <v>120</v>
      </c>
      <c r="E338" s="29" t="s">
        <v>136</v>
      </c>
      <c r="F338" s="90"/>
      <c r="G338" s="69"/>
      <c r="H338" s="121">
        <f>H339</f>
        <v>1266.1</v>
      </c>
      <c r="I338" s="47"/>
    </row>
    <row r="339" spans="1:9" ht="17.25" customHeight="1">
      <c r="A339" s="108" t="s">
        <v>94</v>
      </c>
      <c r="B339" s="84" t="s">
        <v>202</v>
      </c>
      <c r="C339" s="29" t="s">
        <v>122</v>
      </c>
      <c r="D339" s="29" t="s">
        <v>120</v>
      </c>
      <c r="E339" s="29" t="s">
        <v>136</v>
      </c>
      <c r="F339" s="90"/>
      <c r="G339" s="88" t="s">
        <v>158</v>
      </c>
      <c r="H339" s="121">
        <f>2431.8+2157.2-3032.1-915.7+624.9</f>
        <v>1266.1</v>
      </c>
      <c r="I339" s="47"/>
    </row>
    <row r="340" spans="1:9" ht="15.75">
      <c r="A340" s="53" t="s">
        <v>3</v>
      </c>
      <c r="B340" s="85" t="s">
        <v>202</v>
      </c>
      <c r="C340" s="33" t="s">
        <v>121</v>
      </c>
      <c r="D340" s="33"/>
      <c r="E340" s="33"/>
      <c r="F340" s="32"/>
      <c r="G340" s="123"/>
      <c r="H340" s="164">
        <f>H341+H345</f>
        <v>13182.5</v>
      </c>
      <c r="I340" s="34">
        <f aca="true" t="shared" si="11" ref="H340:I343">I341</f>
        <v>12170.5</v>
      </c>
    </row>
    <row r="341" spans="1:9" ht="15.75">
      <c r="A341" s="53" t="s">
        <v>169</v>
      </c>
      <c r="B341" s="85" t="s">
        <v>202</v>
      </c>
      <c r="C341" s="33" t="s">
        <v>121</v>
      </c>
      <c r="D341" s="33" t="s">
        <v>116</v>
      </c>
      <c r="E341" s="33"/>
      <c r="F341" s="32"/>
      <c r="G341" s="123"/>
      <c r="H341" s="164">
        <f t="shared" si="11"/>
        <v>12170.5</v>
      </c>
      <c r="I341" s="34">
        <f t="shared" si="11"/>
        <v>12170.5</v>
      </c>
    </row>
    <row r="342" spans="1:9" ht="15.75">
      <c r="A342" s="112" t="s">
        <v>79</v>
      </c>
      <c r="B342" s="84" t="s">
        <v>202</v>
      </c>
      <c r="C342" s="29" t="s">
        <v>121</v>
      </c>
      <c r="D342" s="29" t="s">
        <v>116</v>
      </c>
      <c r="E342" s="29" t="s">
        <v>63</v>
      </c>
      <c r="F342" s="75"/>
      <c r="G342" s="69"/>
      <c r="H342" s="121">
        <f t="shared" si="11"/>
        <v>12170.5</v>
      </c>
      <c r="I342" s="39">
        <f t="shared" si="11"/>
        <v>12170.5</v>
      </c>
    </row>
    <row r="343" spans="1:9" ht="62.25" customHeight="1">
      <c r="A343" s="111" t="s">
        <v>431</v>
      </c>
      <c r="B343" s="84" t="s">
        <v>202</v>
      </c>
      <c r="C343" s="29" t="s">
        <v>121</v>
      </c>
      <c r="D343" s="29" t="s">
        <v>116</v>
      </c>
      <c r="E343" s="29" t="s">
        <v>430</v>
      </c>
      <c r="F343" s="75"/>
      <c r="G343" s="69"/>
      <c r="H343" s="121">
        <f t="shared" si="11"/>
        <v>12170.5</v>
      </c>
      <c r="I343" s="30">
        <f t="shared" si="11"/>
        <v>12170.5</v>
      </c>
    </row>
    <row r="344" spans="1:9" s="9" customFormat="1" ht="32.25" customHeight="1">
      <c r="A344" s="110" t="s">
        <v>427</v>
      </c>
      <c r="B344" s="84" t="s">
        <v>202</v>
      </c>
      <c r="C344" s="29" t="s">
        <v>121</v>
      </c>
      <c r="D344" s="29" t="s">
        <v>116</v>
      </c>
      <c r="E344" s="29" t="s">
        <v>430</v>
      </c>
      <c r="F344" s="75"/>
      <c r="G344" s="88" t="s">
        <v>426</v>
      </c>
      <c r="H344" s="121">
        <f>12110+60.5</f>
        <v>12170.5</v>
      </c>
      <c r="I344" s="30">
        <f>12110+60.5</f>
        <v>12170.5</v>
      </c>
    </row>
    <row r="345" spans="1:9" s="9" customFormat="1" ht="15.75">
      <c r="A345" s="53" t="s">
        <v>82</v>
      </c>
      <c r="B345" s="85" t="s">
        <v>202</v>
      </c>
      <c r="C345" s="59" t="s">
        <v>121</v>
      </c>
      <c r="D345" s="33" t="s">
        <v>130</v>
      </c>
      <c r="E345" s="29"/>
      <c r="F345" s="28"/>
      <c r="G345" s="56"/>
      <c r="H345" s="121">
        <f>H346</f>
        <v>1012</v>
      </c>
      <c r="I345" s="66"/>
    </row>
    <row r="346" spans="1:9" s="9" customFormat="1" ht="43.5">
      <c r="A346" s="159" t="s">
        <v>251</v>
      </c>
      <c r="B346" s="84" t="s">
        <v>202</v>
      </c>
      <c r="C346" s="49" t="s">
        <v>121</v>
      </c>
      <c r="D346" s="49" t="s">
        <v>130</v>
      </c>
      <c r="E346" s="29" t="s">
        <v>151</v>
      </c>
      <c r="F346" s="28" t="s">
        <v>36</v>
      </c>
      <c r="G346" s="132"/>
      <c r="H346" s="121">
        <f>H347</f>
        <v>1012</v>
      </c>
      <c r="I346" s="66"/>
    </row>
    <row r="347" spans="1:9" s="9" customFormat="1" ht="16.5" thickBot="1">
      <c r="A347" s="308" t="s">
        <v>94</v>
      </c>
      <c r="B347" s="291" t="s">
        <v>202</v>
      </c>
      <c r="C347" s="334" t="s">
        <v>121</v>
      </c>
      <c r="D347" s="334" t="s">
        <v>130</v>
      </c>
      <c r="E347" s="293" t="s">
        <v>151</v>
      </c>
      <c r="F347" s="335"/>
      <c r="G347" s="336" t="s">
        <v>158</v>
      </c>
      <c r="H347" s="337">
        <f>300+712</f>
        <v>1012</v>
      </c>
      <c r="I347" s="338"/>
    </row>
    <row r="348" spans="1:9" s="9" customFormat="1" ht="60.75" customHeight="1" thickBot="1">
      <c r="A348" s="232" t="s">
        <v>279</v>
      </c>
      <c r="B348" s="80" t="s">
        <v>203</v>
      </c>
      <c r="C348" s="80"/>
      <c r="D348" s="22"/>
      <c r="E348" s="22"/>
      <c r="F348" s="20"/>
      <c r="G348" s="98"/>
      <c r="H348" s="119">
        <f>H349+H374+H423</f>
        <v>151523.8</v>
      </c>
      <c r="I348" s="23">
        <f>I349+I374+I423</f>
        <v>4855</v>
      </c>
    </row>
    <row r="349" spans="1:9" s="9" customFormat="1" ht="15.75">
      <c r="A349" s="15" t="s">
        <v>4</v>
      </c>
      <c r="B349" s="82" t="s">
        <v>203</v>
      </c>
      <c r="C349" s="82" t="s">
        <v>122</v>
      </c>
      <c r="D349" s="59"/>
      <c r="E349" s="73"/>
      <c r="F349" s="72"/>
      <c r="G349" s="178"/>
      <c r="H349" s="264">
        <f>H350+H358</f>
        <v>47462.8</v>
      </c>
      <c r="I349" s="61">
        <f>I350+I358</f>
        <v>4384</v>
      </c>
    </row>
    <row r="350" spans="1:9" s="9" customFormat="1" ht="15.75">
      <c r="A350" s="15" t="s">
        <v>7</v>
      </c>
      <c r="B350" s="82" t="s">
        <v>203</v>
      </c>
      <c r="C350" s="85" t="s">
        <v>122</v>
      </c>
      <c r="D350" s="59" t="s">
        <v>115</v>
      </c>
      <c r="E350" s="33"/>
      <c r="F350" s="32"/>
      <c r="G350" s="99"/>
      <c r="H350" s="264">
        <f>H351</f>
        <v>29876.500000000004</v>
      </c>
      <c r="I350" s="61">
        <f>I351</f>
        <v>210</v>
      </c>
    </row>
    <row r="351" spans="1:9" s="9" customFormat="1" ht="15.75">
      <c r="A351" s="108" t="s">
        <v>21</v>
      </c>
      <c r="B351" s="84" t="s">
        <v>203</v>
      </c>
      <c r="C351" s="84" t="s">
        <v>122</v>
      </c>
      <c r="D351" s="29" t="s">
        <v>115</v>
      </c>
      <c r="E351" s="29" t="s">
        <v>22</v>
      </c>
      <c r="F351" s="28"/>
      <c r="G351" s="69"/>
      <c r="H351" s="121">
        <f>H352+H355</f>
        <v>29876.500000000004</v>
      </c>
      <c r="I351" s="30">
        <f>I352+I355</f>
        <v>210</v>
      </c>
    </row>
    <row r="352" spans="1:9" s="9" customFormat="1" ht="15.75">
      <c r="A352" s="184" t="s">
        <v>239</v>
      </c>
      <c r="B352" s="84" t="s">
        <v>203</v>
      </c>
      <c r="C352" s="84" t="s">
        <v>122</v>
      </c>
      <c r="D352" s="29" t="s">
        <v>115</v>
      </c>
      <c r="E352" s="29" t="s">
        <v>243</v>
      </c>
      <c r="F352" s="28"/>
      <c r="G352" s="69"/>
      <c r="H352" s="121">
        <f>H354+H353</f>
        <v>307.8</v>
      </c>
      <c r="I352" s="30">
        <f>I354</f>
        <v>0</v>
      </c>
    </row>
    <row r="353" spans="1:9" s="9" customFormat="1" ht="15.75">
      <c r="A353" s="114" t="s">
        <v>103</v>
      </c>
      <c r="B353" s="67" t="s">
        <v>203</v>
      </c>
      <c r="C353" s="67" t="s">
        <v>122</v>
      </c>
      <c r="D353" s="63" t="s">
        <v>115</v>
      </c>
      <c r="E353" s="63" t="s">
        <v>243</v>
      </c>
      <c r="F353" s="43"/>
      <c r="G353" s="87" t="s">
        <v>56</v>
      </c>
      <c r="H353" s="272">
        <f>1.2-1.2</f>
        <v>0</v>
      </c>
      <c r="I353" s="68"/>
    </row>
    <row r="354" spans="1:9" s="9" customFormat="1" ht="15.75">
      <c r="A354" s="108" t="s">
        <v>155</v>
      </c>
      <c r="B354" s="84" t="s">
        <v>203</v>
      </c>
      <c r="C354" s="84" t="s">
        <v>122</v>
      </c>
      <c r="D354" s="29" t="s">
        <v>115</v>
      </c>
      <c r="E354" s="29" t="s">
        <v>243</v>
      </c>
      <c r="F354" s="28"/>
      <c r="G354" s="69" t="s">
        <v>156</v>
      </c>
      <c r="H354" s="121">
        <f>302.5+4.1+1.2</f>
        <v>307.8</v>
      </c>
      <c r="I354" s="30"/>
    </row>
    <row r="355" spans="1:9" ht="15.75">
      <c r="A355" s="108" t="s">
        <v>18</v>
      </c>
      <c r="B355" s="84" t="s">
        <v>203</v>
      </c>
      <c r="C355" s="84" t="s">
        <v>122</v>
      </c>
      <c r="D355" s="29" t="s">
        <v>115</v>
      </c>
      <c r="E355" s="29" t="s">
        <v>134</v>
      </c>
      <c r="F355" s="28"/>
      <c r="G355" s="69"/>
      <c r="H355" s="121">
        <f>H357+H356</f>
        <v>29568.700000000004</v>
      </c>
      <c r="I355" s="30">
        <f>I357</f>
        <v>210</v>
      </c>
    </row>
    <row r="356" spans="1:9" ht="15.75">
      <c r="A356" s="114" t="s">
        <v>103</v>
      </c>
      <c r="B356" s="67" t="s">
        <v>203</v>
      </c>
      <c r="C356" s="91" t="s">
        <v>122</v>
      </c>
      <c r="D356" s="49" t="s">
        <v>115</v>
      </c>
      <c r="E356" s="63" t="s">
        <v>134</v>
      </c>
      <c r="F356" s="43"/>
      <c r="G356" s="92" t="s">
        <v>56</v>
      </c>
      <c r="H356" s="272">
        <f>2.9</f>
        <v>2.9</v>
      </c>
      <c r="I356" s="68"/>
    </row>
    <row r="357" spans="1:9" ht="15.75">
      <c r="A357" s="108" t="s">
        <v>155</v>
      </c>
      <c r="B357" s="89" t="s">
        <v>203</v>
      </c>
      <c r="C357" s="84" t="s">
        <v>122</v>
      </c>
      <c r="D357" s="49" t="s">
        <v>115</v>
      </c>
      <c r="E357" s="38" t="s">
        <v>134</v>
      </c>
      <c r="F357" s="43"/>
      <c r="G357" s="58" t="s">
        <v>156</v>
      </c>
      <c r="H357" s="165">
        <f>2426.4+25481.2+518+550.2+110+100+380</f>
        <v>29565.800000000003</v>
      </c>
      <c r="I357" s="39">
        <f>110+100</f>
        <v>210</v>
      </c>
    </row>
    <row r="358" spans="1:9" ht="15.75">
      <c r="A358" s="53" t="s">
        <v>20</v>
      </c>
      <c r="B358" s="85" t="s">
        <v>203</v>
      </c>
      <c r="C358" s="82" t="s">
        <v>122</v>
      </c>
      <c r="D358" s="33" t="s">
        <v>122</v>
      </c>
      <c r="E358" s="33"/>
      <c r="F358" s="32"/>
      <c r="G358" s="86"/>
      <c r="H358" s="164">
        <f>H359+H367</f>
        <v>17586.3</v>
      </c>
      <c r="I358" s="34">
        <f>I359+I367</f>
        <v>4174</v>
      </c>
    </row>
    <row r="359" spans="1:9" ht="15.75">
      <c r="A359" s="53" t="s">
        <v>60</v>
      </c>
      <c r="B359" s="85" t="s">
        <v>203</v>
      </c>
      <c r="C359" s="82" t="s">
        <v>122</v>
      </c>
      <c r="D359" s="33" t="s">
        <v>122</v>
      </c>
      <c r="E359" s="33" t="s">
        <v>61</v>
      </c>
      <c r="F359" s="32"/>
      <c r="G359" s="86"/>
      <c r="H359" s="164">
        <f>H365+H362+H360</f>
        <v>8284.599999999999</v>
      </c>
      <c r="I359" s="34">
        <f>I365+I362+I360</f>
        <v>4174</v>
      </c>
    </row>
    <row r="360" spans="1:9" ht="43.5">
      <c r="A360" s="110" t="s">
        <v>439</v>
      </c>
      <c r="B360" s="84" t="s">
        <v>203</v>
      </c>
      <c r="C360" s="91" t="s">
        <v>122</v>
      </c>
      <c r="D360" s="29" t="s">
        <v>122</v>
      </c>
      <c r="E360" s="29" t="s">
        <v>406</v>
      </c>
      <c r="F360" s="32"/>
      <c r="G360" s="86"/>
      <c r="H360" s="121">
        <f>H361</f>
        <v>4174</v>
      </c>
      <c r="I360" s="30">
        <f>I361</f>
        <v>4174</v>
      </c>
    </row>
    <row r="361" spans="1:9" ht="43.5">
      <c r="A361" s="201" t="s">
        <v>440</v>
      </c>
      <c r="B361" s="84" t="s">
        <v>203</v>
      </c>
      <c r="C361" s="91" t="s">
        <v>122</v>
      </c>
      <c r="D361" s="29" t="s">
        <v>122</v>
      </c>
      <c r="E361" s="29" t="s">
        <v>406</v>
      </c>
      <c r="F361" s="32"/>
      <c r="G361" s="69" t="s">
        <v>407</v>
      </c>
      <c r="H361" s="121">
        <v>4174</v>
      </c>
      <c r="I361" s="30">
        <v>4174</v>
      </c>
    </row>
    <row r="362" spans="1:9" ht="15.75">
      <c r="A362" s="184" t="s">
        <v>239</v>
      </c>
      <c r="B362" s="84" t="s">
        <v>203</v>
      </c>
      <c r="C362" s="91" t="s">
        <v>122</v>
      </c>
      <c r="D362" s="29" t="s">
        <v>122</v>
      </c>
      <c r="E362" s="29" t="s">
        <v>250</v>
      </c>
      <c r="F362" s="28"/>
      <c r="G362" s="69"/>
      <c r="H362" s="121">
        <f>H364+H363</f>
        <v>4.8999999999999995</v>
      </c>
      <c r="I362" s="30">
        <f>I364</f>
        <v>0</v>
      </c>
    </row>
    <row r="363" spans="1:9" ht="15.75">
      <c r="A363" s="114" t="s">
        <v>103</v>
      </c>
      <c r="B363" s="84" t="s">
        <v>203</v>
      </c>
      <c r="C363" s="91" t="s">
        <v>122</v>
      </c>
      <c r="D363" s="29" t="s">
        <v>122</v>
      </c>
      <c r="E363" s="29" t="s">
        <v>250</v>
      </c>
      <c r="F363" s="28"/>
      <c r="G363" s="69" t="s">
        <v>56</v>
      </c>
      <c r="H363" s="121">
        <f>0.6-0.6</f>
        <v>0</v>
      </c>
      <c r="I363" s="30"/>
    </row>
    <row r="364" spans="1:9" ht="15.75">
      <c r="A364" s="108" t="s">
        <v>155</v>
      </c>
      <c r="B364" s="84" t="s">
        <v>203</v>
      </c>
      <c r="C364" s="91" t="s">
        <v>122</v>
      </c>
      <c r="D364" s="29" t="s">
        <v>122</v>
      </c>
      <c r="E364" s="29" t="s">
        <v>250</v>
      </c>
      <c r="F364" s="28"/>
      <c r="G364" s="69" t="s">
        <v>156</v>
      </c>
      <c r="H364" s="121">
        <f>4.3+0.6</f>
        <v>4.8999999999999995</v>
      </c>
      <c r="I364" s="30"/>
    </row>
    <row r="365" spans="1:9" ht="15.75">
      <c r="A365" s="109" t="s">
        <v>18</v>
      </c>
      <c r="B365" s="84" t="s">
        <v>203</v>
      </c>
      <c r="C365" s="91" t="s">
        <v>122</v>
      </c>
      <c r="D365" s="29" t="s">
        <v>122</v>
      </c>
      <c r="E365" s="29" t="s">
        <v>184</v>
      </c>
      <c r="F365" s="28"/>
      <c r="G365" s="69"/>
      <c r="H365" s="121">
        <f>H366</f>
        <v>4105.7</v>
      </c>
      <c r="I365" s="30">
        <f>I366</f>
        <v>0</v>
      </c>
    </row>
    <row r="366" spans="1:9" ht="15.75">
      <c r="A366" s="108" t="s">
        <v>155</v>
      </c>
      <c r="B366" s="140" t="s">
        <v>203</v>
      </c>
      <c r="C366" s="239" t="s">
        <v>122</v>
      </c>
      <c r="D366" s="137" t="s">
        <v>122</v>
      </c>
      <c r="E366" s="137" t="s">
        <v>184</v>
      </c>
      <c r="F366" s="138" t="s">
        <v>11</v>
      </c>
      <c r="G366" s="144" t="s">
        <v>156</v>
      </c>
      <c r="H366" s="190">
        <f>2521.1+1584.6-518-1306-942+42+2724</f>
        <v>4105.7</v>
      </c>
      <c r="I366" s="66"/>
    </row>
    <row r="367" spans="1:9" ht="15.75">
      <c r="A367" s="53" t="s">
        <v>83</v>
      </c>
      <c r="B367" s="96" t="s">
        <v>203</v>
      </c>
      <c r="C367" s="82" t="s">
        <v>122</v>
      </c>
      <c r="D367" s="64" t="s">
        <v>122</v>
      </c>
      <c r="E367" s="64" t="s">
        <v>84</v>
      </c>
      <c r="F367" s="72"/>
      <c r="G367" s="86"/>
      <c r="H367" s="164">
        <f>H368+H371</f>
        <v>9301.7</v>
      </c>
      <c r="I367" s="34">
        <f>I368</f>
        <v>0</v>
      </c>
    </row>
    <row r="368" spans="1:9" ht="29.25">
      <c r="A368" s="223" t="s">
        <v>216</v>
      </c>
      <c r="B368" s="89" t="s">
        <v>203</v>
      </c>
      <c r="C368" s="91" t="s">
        <v>122</v>
      </c>
      <c r="D368" s="38" t="s">
        <v>122</v>
      </c>
      <c r="E368" s="29" t="s">
        <v>266</v>
      </c>
      <c r="F368" s="43"/>
      <c r="G368" s="69"/>
      <c r="H368" s="121">
        <f>H369+H370</f>
        <v>8801.7</v>
      </c>
      <c r="I368" s="47"/>
    </row>
    <row r="369" spans="1:9" ht="15.75">
      <c r="A369" s="108" t="s">
        <v>155</v>
      </c>
      <c r="B369" s="89" t="s">
        <v>203</v>
      </c>
      <c r="C369" s="67" t="s">
        <v>122</v>
      </c>
      <c r="D369" s="38" t="s">
        <v>122</v>
      </c>
      <c r="E369" s="29" t="s">
        <v>266</v>
      </c>
      <c r="F369" s="43"/>
      <c r="G369" s="58" t="s">
        <v>156</v>
      </c>
      <c r="H369" s="165">
        <f>550+148.5+7692.7-95.5+124+382-8644.4</f>
        <v>157.3000000000011</v>
      </c>
      <c r="I369" s="47"/>
    </row>
    <row r="370" spans="1:9" ht="15.75">
      <c r="A370" s="308" t="s">
        <v>94</v>
      </c>
      <c r="B370" s="84" t="s">
        <v>203</v>
      </c>
      <c r="C370" s="91" t="s">
        <v>122</v>
      </c>
      <c r="D370" s="29" t="s">
        <v>122</v>
      </c>
      <c r="E370" s="29" t="s">
        <v>266</v>
      </c>
      <c r="F370" s="48"/>
      <c r="G370" s="58" t="s">
        <v>158</v>
      </c>
      <c r="H370" s="121">
        <v>8644.4</v>
      </c>
      <c r="I370" s="117"/>
    </row>
    <row r="371" spans="1:9" ht="29.25">
      <c r="A371" s="236" t="s">
        <v>271</v>
      </c>
      <c r="B371" s="182" t="s">
        <v>203</v>
      </c>
      <c r="C371" s="239" t="s">
        <v>122</v>
      </c>
      <c r="D371" s="310" t="s">
        <v>122</v>
      </c>
      <c r="E371" s="49" t="s">
        <v>267</v>
      </c>
      <c r="F371" s="142"/>
      <c r="G371" s="332"/>
      <c r="H371" s="272">
        <f>H372+H373</f>
        <v>500</v>
      </c>
      <c r="I371" s="126"/>
    </row>
    <row r="372" spans="1:9" ht="15.75">
      <c r="A372" s="108" t="s">
        <v>155</v>
      </c>
      <c r="B372" s="134" t="s">
        <v>203</v>
      </c>
      <c r="C372" s="140" t="s">
        <v>122</v>
      </c>
      <c r="D372" s="137" t="s">
        <v>122</v>
      </c>
      <c r="E372" s="29" t="s">
        <v>267</v>
      </c>
      <c r="F372" s="136"/>
      <c r="G372" s="141" t="s">
        <v>156</v>
      </c>
      <c r="H372" s="121">
        <f>500-189.9+17.9</f>
        <v>328</v>
      </c>
      <c r="I372" s="47"/>
    </row>
    <row r="373" spans="1:9" ht="15.75">
      <c r="A373" s="186" t="s">
        <v>152</v>
      </c>
      <c r="B373" s="134" t="s">
        <v>203</v>
      </c>
      <c r="C373" s="140" t="s">
        <v>122</v>
      </c>
      <c r="D373" s="137" t="s">
        <v>122</v>
      </c>
      <c r="E373" s="29" t="s">
        <v>267</v>
      </c>
      <c r="F373" s="136"/>
      <c r="G373" s="141" t="s">
        <v>158</v>
      </c>
      <c r="H373" s="121">
        <f>189.9-17.9</f>
        <v>172</v>
      </c>
      <c r="I373" s="47"/>
    </row>
    <row r="374" spans="1:9" ht="15.75">
      <c r="A374" s="53" t="s">
        <v>226</v>
      </c>
      <c r="B374" s="85" t="s">
        <v>203</v>
      </c>
      <c r="C374" s="85" t="s">
        <v>123</v>
      </c>
      <c r="D374" s="33"/>
      <c r="E374" s="33"/>
      <c r="F374" s="32"/>
      <c r="G374" s="86"/>
      <c r="H374" s="164">
        <f>H375+H406</f>
        <v>86528.09999999999</v>
      </c>
      <c r="I374" s="34">
        <f>I375+I406</f>
        <v>471</v>
      </c>
    </row>
    <row r="375" spans="1:9" ht="15.75">
      <c r="A375" s="15" t="s">
        <v>24</v>
      </c>
      <c r="B375" s="82" t="s">
        <v>203</v>
      </c>
      <c r="C375" s="82" t="s">
        <v>123</v>
      </c>
      <c r="D375" s="59" t="s">
        <v>114</v>
      </c>
      <c r="E375" s="33"/>
      <c r="F375" s="36"/>
      <c r="G375" s="86"/>
      <c r="H375" s="264">
        <f>H376+H386+H393+H401</f>
        <v>66691.79999999999</v>
      </c>
      <c r="I375" s="83">
        <f>I376+I386+I393+I401</f>
        <v>471</v>
      </c>
    </row>
    <row r="376" spans="1:9" ht="29.25">
      <c r="A376" s="110" t="s">
        <v>234</v>
      </c>
      <c r="B376" s="84" t="s">
        <v>203</v>
      </c>
      <c r="C376" s="91" t="s">
        <v>123</v>
      </c>
      <c r="D376" s="49" t="s">
        <v>114</v>
      </c>
      <c r="E376" s="29" t="s">
        <v>25</v>
      </c>
      <c r="F376" s="28"/>
      <c r="G376" s="69"/>
      <c r="H376" s="121">
        <f>H380+H383+H377</f>
        <v>41288.5</v>
      </c>
      <c r="I376" s="30">
        <f>I380+I383+I377</f>
        <v>275</v>
      </c>
    </row>
    <row r="377" spans="1:9" ht="29.25">
      <c r="A377" s="111" t="s">
        <v>222</v>
      </c>
      <c r="B377" s="84" t="s">
        <v>203</v>
      </c>
      <c r="C377" s="84" t="s">
        <v>123</v>
      </c>
      <c r="D377" s="29" t="s">
        <v>114</v>
      </c>
      <c r="E377" s="29" t="s">
        <v>224</v>
      </c>
      <c r="F377" s="28"/>
      <c r="G377" s="69"/>
      <c r="H377" s="121">
        <f>H378</f>
        <v>225</v>
      </c>
      <c r="I377" s="50">
        <f>I378</f>
        <v>225</v>
      </c>
    </row>
    <row r="378" spans="1:9" ht="15.75">
      <c r="A378" s="112" t="s">
        <v>225</v>
      </c>
      <c r="B378" s="84" t="s">
        <v>203</v>
      </c>
      <c r="C378" s="84" t="s">
        <v>123</v>
      </c>
      <c r="D378" s="29" t="s">
        <v>114</v>
      </c>
      <c r="E378" s="29" t="s">
        <v>224</v>
      </c>
      <c r="F378" s="28"/>
      <c r="G378" s="69"/>
      <c r="H378" s="121">
        <f>H379</f>
        <v>225</v>
      </c>
      <c r="I378" s="30">
        <f>I379</f>
        <v>225</v>
      </c>
    </row>
    <row r="379" spans="1:9" ht="15.75">
      <c r="A379" s="108" t="s">
        <v>374</v>
      </c>
      <c r="B379" s="84" t="s">
        <v>203</v>
      </c>
      <c r="C379" s="84" t="s">
        <v>123</v>
      </c>
      <c r="D379" s="29" t="s">
        <v>114</v>
      </c>
      <c r="E379" s="29" t="s">
        <v>224</v>
      </c>
      <c r="F379" s="28"/>
      <c r="G379" s="58" t="s">
        <v>373</v>
      </c>
      <c r="H379" s="121">
        <f>202+23</f>
        <v>225</v>
      </c>
      <c r="I379" s="30">
        <f>202+23</f>
        <v>225</v>
      </c>
    </row>
    <row r="380" spans="1:9" ht="15.75">
      <c r="A380" s="184" t="s">
        <v>239</v>
      </c>
      <c r="B380" s="84" t="s">
        <v>203</v>
      </c>
      <c r="C380" s="91" t="s">
        <v>123</v>
      </c>
      <c r="D380" s="49" t="s">
        <v>114</v>
      </c>
      <c r="E380" s="29" t="s">
        <v>247</v>
      </c>
      <c r="F380" s="28"/>
      <c r="G380" s="69"/>
      <c r="H380" s="121">
        <f>H382+H381</f>
        <v>4761.099999999999</v>
      </c>
      <c r="I380" s="30">
        <f>I382</f>
        <v>0</v>
      </c>
    </row>
    <row r="381" spans="1:9" ht="15.75">
      <c r="A381" s="114" t="s">
        <v>103</v>
      </c>
      <c r="B381" s="84" t="s">
        <v>203</v>
      </c>
      <c r="C381" s="91" t="s">
        <v>123</v>
      </c>
      <c r="D381" s="49" t="s">
        <v>114</v>
      </c>
      <c r="E381" s="29" t="s">
        <v>247</v>
      </c>
      <c r="F381" s="28"/>
      <c r="G381" s="69" t="s">
        <v>56</v>
      </c>
      <c r="H381" s="121">
        <f>187.7-187.7</f>
        <v>0</v>
      </c>
      <c r="I381" s="30"/>
    </row>
    <row r="382" spans="1:9" ht="15.75">
      <c r="A382" s="108" t="s">
        <v>155</v>
      </c>
      <c r="B382" s="84" t="s">
        <v>203</v>
      </c>
      <c r="C382" s="91" t="s">
        <v>123</v>
      </c>
      <c r="D382" s="49" t="s">
        <v>114</v>
      </c>
      <c r="E382" s="29" t="s">
        <v>247</v>
      </c>
      <c r="F382" s="28"/>
      <c r="G382" s="69" t="s">
        <v>156</v>
      </c>
      <c r="H382" s="121">
        <f>4573.4+187.7</f>
        <v>4761.099999999999</v>
      </c>
      <c r="I382" s="30"/>
    </row>
    <row r="383" spans="1:9" ht="15.75">
      <c r="A383" s="47" t="s">
        <v>18</v>
      </c>
      <c r="B383" s="84" t="s">
        <v>203</v>
      </c>
      <c r="C383" s="91" t="s">
        <v>123</v>
      </c>
      <c r="D383" s="49" t="s">
        <v>114</v>
      </c>
      <c r="E383" s="29" t="s">
        <v>137</v>
      </c>
      <c r="F383" s="28"/>
      <c r="G383" s="69"/>
      <c r="H383" s="121">
        <f>H385+H384</f>
        <v>36302.4</v>
      </c>
      <c r="I383" s="30">
        <f>I385</f>
        <v>50</v>
      </c>
    </row>
    <row r="384" spans="1:9" ht="15.75">
      <c r="A384" s="114" t="s">
        <v>103</v>
      </c>
      <c r="B384" s="84" t="s">
        <v>203</v>
      </c>
      <c r="C384" s="91" t="s">
        <v>123</v>
      </c>
      <c r="D384" s="49" t="s">
        <v>114</v>
      </c>
      <c r="E384" s="29" t="s">
        <v>137</v>
      </c>
      <c r="F384" s="28"/>
      <c r="G384" s="69" t="s">
        <v>56</v>
      </c>
      <c r="H384" s="121">
        <f>7.9+2.3+12.7+15.5+2.2+99.4</f>
        <v>140</v>
      </c>
      <c r="I384" s="30"/>
    </row>
    <row r="385" spans="1:9" ht="15.75">
      <c r="A385" s="108" t="s">
        <v>155</v>
      </c>
      <c r="B385" s="84" t="s">
        <v>203</v>
      </c>
      <c r="C385" s="91" t="s">
        <v>123</v>
      </c>
      <c r="D385" s="49" t="s">
        <v>114</v>
      </c>
      <c r="E385" s="29" t="s">
        <v>137</v>
      </c>
      <c r="F385" s="28"/>
      <c r="G385" s="58" t="s">
        <v>156</v>
      </c>
      <c r="H385" s="121">
        <f>5716.3+3649.1+2736.5+2834.8+2383.1+14.1+18792.6+318-14.1-318+50</f>
        <v>36162.4</v>
      </c>
      <c r="I385" s="30">
        <v>50</v>
      </c>
    </row>
    <row r="386" spans="1:9" ht="15.75">
      <c r="A386" s="53" t="s">
        <v>9</v>
      </c>
      <c r="B386" s="85" t="s">
        <v>203</v>
      </c>
      <c r="C386" s="82" t="s">
        <v>123</v>
      </c>
      <c r="D386" s="59" t="s">
        <v>114</v>
      </c>
      <c r="E386" s="33" t="s">
        <v>26</v>
      </c>
      <c r="F386" s="32"/>
      <c r="G386" s="86"/>
      <c r="H386" s="164">
        <f>H387+H390</f>
        <v>3892.7000000000003</v>
      </c>
      <c r="I386" s="34">
        <f>I387+I390</f>
        <v>0</v>
      </c>
    </row>
    <row r="387" spans="1:9" ht="15.75">
      <c r="A387" s="184" t="s">
        <v>239</v>
      </c>
      <c r="B387" s="84" t="s">
        <v>203</v>
      </c>
      <c r="C387" s="91" t="s">
        <v>123</v>
      </c>
      <c r="D387" s="49" t="s">
        <v>114</v>
      </c>
      <c r="E387" s="29" t="s">
        <v>248</v>
      </c>
      <c r="F387" s="32"/>
      <c r="G387" s="86"/>
      <c r="H387" s="164">
        <f>H389+H388</f>
        <v>4.3</v>
      </c>
      <c r="I387" s="34">
        <f>I389</f>
        <v>0</v>
      </c>
    </row>
    <row r="388" spans="1:9" ht="15.75">
      <c r="A388" s="114" t="s">
        <v>103</v>
      </c>
      <c r="B388" s="84" t="s">
        <v>203</v>
      </c>
      <c r="C388" s="91" t="s">
        <v>123</v>
      </c>
      <c r="D388" s="49" t="s">
        <v>114</v>
      </c>
      <c r="E388" s="29" t="s">
        <v>248</v>
      </c>
      <c r="F388" s="32"/>
      <c r="G388" s="69" t="s">
        <v>56</v>
      </c>
      <c r="H388" s="121">
        <f>0.5-0.5</f>
        <v>0</v>
      </c>
      <c r="I388" s="34"/>
    </row>
    <row r="389" spans="1:9" ht="15.75">
      <c r="A389" s="108" t="s">
        <v>155</v>
      </c>
      <c r="B389" s="84" t="s">
        <v>203</v>
      </c>
      <c r="C389" s="91" t="s">
        <v>123</v>
      </c>
      <c r="D389" s="49" t="s">
        <v>114</v>
      </c>
      <c r="E389" s="29" t="s">
        <v>248</v>
      </c>
      <c r="F389" s="32"/>
      <c r="G389" s="69" t="s">
        <v>156</v>
      </c>
      <c r="H389" s="121">
        <f>3.8+0.5</f>
        <v>4.3</v>
      </c>
      <c r="I389" s="34"/>
    </row>
    <row r="390" spans="1:9" ht="15.75">
      <c r="A390" s="47" t="s">
        <v>18</v>
      </c>
      <c r="B390" s="84" t="s">
        <v>203</v>
      </c>
      <c r="C390" s="91" t="s">
        <v>123</v>
      </c>
      <c r="D390" s="49" t="s">
        <v>114</v>
      </c>
      <c r="E390" s="29" t="s">
        <v>138</v>
      </c>
      <c r="F390" s="28"/>
      <c r="G390" s="69"/>
      <c r="H390" s="121">
        <f>H392+H391</f>
        <v>3888.4</v>
      </c>
      <c r="I390" s="30">
        <f>I392</f>
        <v>0</v>
      </c>
    </row>
    <row r="391" spans="1:9" ht="15.75">
      <c r="A391" s="114" t="s">
        <v>103</v>
      </c>
      <c r="B391" s="84" t="s">
        <v>203</v>
      </c>
      <c r="C391" s="91" t="s">
        <v>123</v>
      </c>
      <c r="D391" s="49" t="s">
        <v>114</v>
      </c>
      <c r="E391" s="29" t="s">
        <v>138</v>
      </c>
      <c r="F391" s="28"/>
      <c r="G391" s="69" t="s">
        <v>56</v>
      </c>
      <c r="H391" s="121">
        <v>2.1</v>
      </c>
      <c r="I391" s="30"/>
    </row>
    <row r="392" spans="1:9" ht="15.75">
      <c r="A392" s="108" t="s">
        <v>155</v>
      </c>
      <c r="B392" s="84" t="s">
        <v>203</v>
      </c>
      <c r="C392" s="91" t="s">
        <v>123</v>
      </c>
      <c r="D392" s="49" t="s">
        <v>114</v>
      </c>
      <c r="E392" s="29" t="s">
        <v>138</v>
      </c>
      <c r="F392" s="28"/>
      <c r="G392" s="58" t="s">
        <v>156</v>
      </c>
      <c r="H392" s="121">
        <f>3886.3</f>
        <v>3886.3</v>
      </c>
      <c r="I392" s="118"/>
    </row>
    <row r="393" spans="1:9" ht="15.75">
      <c r="A393" s="53" t="s">
        <v>10</v>
      </c>
      <c r="B393" s="85" t="s">
        <v>203</v>
      </c>
      <c r="C393" s="82" t="s">
        <v>123</v>
      </c>
      <c r="D393" s="59" t="s">
        <v>114</v>
      </c>
      <c r="E393" s="33" t="s">
        <v>27</v>
      </c>
      <c r="F393" s="32"/>
      <c r="G393" s="86"/>
      <c r="H393" s="164">
        <f>H396+H398+H394</f>
        <v>10393.6</v>
      </c>
      <c r="I393" s="34">
        <f>I396+I398+I394</f>
        <v>196</v>
      </c>
    </row>
    <row r="394" spans="1:9" ht="43.5">
      <c r="A394" s="110" t="s">
        <v>468</v>
      </c>
      <c r="B394" s="84" t="s">
        <v>203</v>
      </c>
      <c r="C394" s="91" t="s">
        <v>123</v>
      </c>
      <c r="D394" s="49" t="s">
        <v>114</v>
      </c>
      <c r="E394" s="29" t="s">
        <v>469</v>
      </c>
      <c r="F394" s="32"/>
      <c r="G394" s="86"/>
      <c r="H394" s="121">
        <f>H395</f>
        <v>196</v>
      </c>
      <c r="I394" s="30">
        <f>I395</f>
        <v>196</v>
      </c>
    </row>
    <row r="395" spans="1:9" ht="15.75">
      <c r="A395" s="108" t="s">
        <v>374</v>
      </c>
      <c r="B395" s="84" t="s">
        <v>203</v>
      </c>
      <c r="C395" s="91" t="s">
        <v>123</v>
      </c>
      <c r="D395" s="49" t="s">
        <v>114</v>
      </c>
      <c r="E395" s="29" t="s">
        <v>469</v>
      </c>
      <c r="F395" s="32"/>
      <c r="G395" s="69" t="s">
        <v>373</v>
      </c>
      <c r="H395" s="121">
        <v>196</v>
      </c>
      <c r="I395" s="30">
        <v>196</v>
      </c>
    </row>
    <row r="396" spans="1:9" ht="15.75">
      <c r="A396" s="184" t="s">
        <v>239</v>
      </c>
      <c r="B396" s="84" t="s">
        <v>203</v>
      </c>
      <c r="C396" s="91" t="s">
        <v>123</v>
      </c>
      <c r="D396" s="49" t="s">
        <v>114</v>
      </c>
      <c r="E396" s="29" t="s">
        <v>246</v>
      </c>
      <c r="F396" s="28"/>
      <c r="G396" s="69"/>
      <c r="H396" s="121">
        <f>H397</f>
        <v>6</v>
      </c>
      <c r="I396" s="30">
        <f>I397</f>
        <v>0</v>
      </c>
    </row>
    <row r="397" spans="1:9" ht="15.75">
      <c r="A397" s="108" t="s">
        <v>155</v>
      </c>
      <c r="B397" s="84" t="s">
        <v>203</v>
      </c>
      <c r="C397" s="91" t="s">
        <v>123</v>
      </c>
      <c r="D397" s="49" t="s">
        <v>114</v>
      </c>
      <c r="E397" s="29" t="s">
        <v>246</v>
      </c>
      <c r="F397" s="28"/>
      <c r="G397" s="69" t="s">
        <v>156</v>
      </c>
      <c r="H397" s="121">
        <v>6</v>
      </c>
      <c r="I397" s="30"/>
    </row>
    <row r="398" spans="1:9" ht="15.75">
      <c r="A398" s="47" t="s">
        <v>18</v>
      </c>
      <c r="B398" s="84" t="s">
        <v>203</v>
      </c>
      <c r="C398" s="91" t="s">
        <v>123</v>
      </c>
      <c r="D398" s="49" t="s">
        <v>114</v>
      </c>
      <c r="E398" s="29" t="s">
        <v>139</v>
      </c>
      <c r="F398" s="28"/>
      <c r="G398" s="69"/>
      <c r="H398" s="121">
        <f>H400+H399</f>
        <v>10191.6</v>
      </c>
      <c r="I398" s="50">
        <f>I400</f>
        <v>0</v>
      </c>
    </row>
    <row r="399" spans="1:9" ht="15.75">
      <c r="A399" s="114" t="s">
        <v>103</v>
      </c>
      <c r="B399" s="84" t="s">
        <v>203</v>
      </c>
      <c r="C399" s="91" t="s">
        <v>123</v>
      </c>
      <c r="D399" s="49" t="s">
        <v>114</v>
      </c>
      <c r="E399" s="29" t="s">
        <v>139</v>
      </c>
      <c r="F399" s="28"/>
      <c r="G399" s="69" t="s">
        <v>56</v>
      </c>
      <c r="H399" s="121">
        <v>11.4</v>
      </c>
      <c r="I399" s="30"/>
    </row>
    <row r="400" spans="1:9" ht="15.75">
      <c r="A400" s="108" t="s">
        <v>155</v>
      </c>
      <c r="B400" s="84" t="s">
        <v>203</v>
      </c>
      <c r="C400" s="91" t="s">
        <v>123</v>
      </c>
      <c r="D400" s="49" t="s">
        <v>114</v>
      </c>
      <c r="E400" s="29" t="s">
        <v>139</v>
      </c>
      <c r="F400" s="28"/>
      <c r="G400" s="58" t="s">
        <v>156</v>
      </c>
      <c r="H400" s="121">
        <f>10180.2</f>
        <v>10180.2</v>
      </c>
      <c r="I400" s="30"/>
    </row>
    <row r="401" spans="1:9" ht="30">
      <c r="A401" s="71" t="s">
        <v>74</v>
      </c>
      <c r="B401" s="85" t="s">
        <v>203</v>
      </c>
      <c r="C401" s="82" t="s">
        <v>123</v>
      </c>
      <c r="D401" s="59" t="s">
        <v>114</v>
      </c>
      <c r="E401" s="33" t="s">
        <v>28</v>
      </c>
      <c r="F401" s="32"/>
      <c r="G401" s="86"/>
      <c r="H401" s="164">
        <f>H402+H404</f>
        <v>11117</v>
      </c>
      <c r="I401" s="34">
        <f>I402+I404</f>
        <v>0</v>
      </c>
    </row>
    <row r="402" spans="1:9" ht="15.75">
      <c r="A402" s="184" t="s">
        <v>239</v>
      </c>
      <c r="B402" s="84" t="s">
        <v>203</v>
      </c>
      <c r="C402" s="91" t="s">
        <v>123</v>
      </c>
      <c r="D402" s="49" t="s">
        <v>114</v>
      </c>
      <c r="E402" s="29" t="s">
        <v>249</v>
      </c>
      <c r="F402" s="32"/>
      <c r="G402" s="86"/>
      <c r="H402" s="121">
        <f>H403</f>
        <v>283.7</v>
      </c>
      <c r="I402" s="34">
        <f>I403</f>
        <v>0</v>
      </c>
    </row>
    <row r="403" spans="1:9" ht="15.75">
      <c r="A403" s="108" t="s">
        <v>155</v>
      </c>
      <c r="B403" s="84" t="s">
        <v>203</v>
      </c>
      <c r="C403" s="91" t="s">
        <v>123</v>
      </c>
      <c r="D403" s="49" t="s">
        <v>114</v>
      </c>
      <c r="E403" s="29" t="s">
        <v>249</v>
      </c>
      <c r="F403" s="32"/>
      <c r="G403" s="69" t="s">
        <v>156</v>
      </c>
      <c r="H403" s="121">
        <v>283.7</v>
      </c>
      <c r="I403" s="34"/>
    </row>
    <row r="404" spans="1:9" ht="15.75">
      <c r="A404" s="109" t="s">
        <v>18</v>
      </c>
      <c r="B404" s="84" t="s">
        <v>203</v>
      </c>
      <c r="C404" s="91" t="s">
        <v>123</v>
      </c>
      <c r="D404" s="49" t="s">
        <v>114</v>
      </c>
      <c r="E404" s="29" t="s">
        <v>140</v>
      </c>
      <c r="F404" s="28"/>
      <c r="G404" s="69"/>
      <c r="H404" s="121">
        <f>H405</f>
        <v>10833.3</v>
      </c>
      <c r="I404" s="30">
        <f>I405</f>
        <v>0</v>
      </c>
    </row>
    <row r="405" spans="1:9" ht="15.75">
      <c r="A405" s="108" t="s">
        <v>155</v>
      </c>
      <c r="B405" s="84" t="s">
        <v>203</v>
      </c>
      <c r="C405" s="91" t="s">
        <v>123</v>
      </c>
      <c r="D405" s="49" t="s">
        <v>114</v>
      </c>
      <c r="E405" s="29" t="s">
        <v>140</v>
      </c>
      <c r="F405" s="28"/>
      <c r="G405" s="58" t="s">
        <v>156</v>
      </c>
      <c r="H405" s="121">
        <f>9333.3+1500</f>
        <v>10833.3</v>
      </c>
      <c r="I405" s="39"/>
    </row>
    <row r="406" spans="1:9" ht="15.75">
      <c r="A406" s="53" t="s">
        <v>228</v>
      </c>
      <c r="B406" s="85" t="s">
        <v>203</v>
      </c>
      <c r="C406" s="85" t="s">
        <v>123</v>
      </c>
      <c r="D406" s="33" t="s">
        <v>116</v>
      </c>
      <c r="E406" s="33"/>
      <c r="F406" s="36"/>
      <c r="G406" s="86"/>
      <c r="H406" s="164">
        <f>H407+H412+H417</f>
        <v>19836.3</v>
      </c>
      <c r="I406" s="34">
        <f>I407+I412+I417</f>
        <v>0</v>
      </c>
    </row>
    <row r="407" spans="1:9" ht="15.75">
      <c r="A407" s="110" t="s">
        <v>95</v>
      </c>
      <c r="B407" s="84" t="s">
        <v>203</v>
      </c>
      <c r="C407" s="84" t="s">
        <v>123</v>
      </c>
      <c r="D407" s="29" t="s">
        <v>116</v>
      </c>
      <c r="E407" s="49" t="s">
        <v>157</v>
      </c>
      <c r="F407" s="36"/>
      <c r="G407" s="86"/>
      <c r="H407" s="121">
        <f>H408+H410</f>
        <v>7414.6</v>
      </c>
      <c r="I407" s="50">
        <f>I408</f>
        <v>0</v>
      </c>
    </row>
    <row r="408" spans="1:9" ht="15.75">
      <c r="A408" s="112" t="s">
        <v>37</v>
      </c>
      <c r="B408" s="84" t="s">
        <v>203</v>
      </c>
      <c r="C408" s="84" t="s">
        <v>123</v>
      </c>
      <c r="D408" s="29" t="s">
        <v>116</v>
      </c>
      <c r="E408" s="49" t="s">
        <v>159</v>
      </c>
      <c r="F408" s="36"/>
      <c r="G408" s="86"/>
      <c r="H408" s="121">
        <f>H409</f>
        <v>7358.5</v>
      </c>
      <c r="I408" s="30">
        <f>I409</f>
        <v>0</v>
      </c>
    </row>
    <row r="409" spans="1:9" ht="15.75">
      <c r="A409" s="186" t="s">
        <v>152</v>
      </c>
      <c r="B409" s="84" t="s">
        <v>203</v>
      </c>
      <c r="C409" s="84" t="s">
        <v>123</v>
      </c>
      <c r="D409" s="29" t="s">
        <v>116</v>
      </c>
      <c r="E409" s="29" t="s">
        <v>159</v>
      </c>
      <c r="F409" s="36"/>
      <c r="G409" s="69" t="s">
        <v>158</v>
      </c>
      <c r="H409" s="121">
        <f>6902.5-1761-104.3-17.4+1796.2+542.5</f>
        <v>7358.5</v>
      </c>
      <c r="I409" s="30"/>
    </row>
    <row r="410" spans="1:9" ht="15.75">
      <c r="A410" s="184" t="s">
        <v>239</v>
      </c>
      <c r="B410" s="84" t="s">
        <v>203</v>
      </c>
      <c r="C410" s="84" t="s">
        <v>123</v>
      </c>
      <c r="D410" s="29" t="s">
        <v>116</v>
      </c>
      <c r="E410" s="29" t="s">
        <v>240</v>
      </c>
      <c r="F410" s="36"/>
      <c r="G410" s="69"/>
      <c r="H410" s="121">
        <f>H411</f>
        <v>56.099999999999994</v>
      </c>
      <c r="I410" s="30">
        <f>I411</f>
        <v>0</v>
      </c>
    </row>
    <row r="411" spans="1:9" ht="15.75">
      <c r="A411" s="186" t="s">
        <v>152</v>
      </c>
      <c r="B411" s="84" t="s">
        <v>203</v>
      </c>
      <c r="C411" s="84" t="s">
        <v>123</v>
      </c>
      <c r="D411" s="29" t="s">
        <v>116</v>
      </c>
      <c r="E411" s="29" t="s">
        <v>240</v>
      </c>
      <c r="F411" s="36"/>
      <c r="G411" s="69" t="s">
        <v>158</v>
      </c>
      <c r="H411" s="121">
        <f>104.3-48.2</f>
        <v>56.099999999999994</v>
      </c>
      <c r="I411" s="30"/>
    </row>
    <row r="412" spans="1:9" ht="57.75">
      <c r="A412" s="113" t="s">
        <v>73</v>
      </c>
      <c r="B412" s="84" t="s">
        <v>203</v>
      </c>
      <c r="C412" s="84" t="s">
        <v>123</v>
      </c>
      <c r="D412" s="29" t="s">
        <v>116</v>
      </c>
      <c r="E412" s="29" t="s">
        <v>29</v>
      </c>
      <c r="F412" s="28"/>
      <c r="G412" s="69"/>
      <c r="H412" s="121">
        <f>H413+H415</f>
        <v>6052.2</v>
      </c>
      <c r="I412" s="30">
        <f>I413+I415</f>
        <v>0</v>
      </c>
    </row>
    <row r="413" spans="1:9" ht="15.75">
      <c r="A413" s="184" t="s">
        <v>239</v>
      </c>
      <c r="B413" s="84" t="s">
        <v>203</v>
      </c>
      <c r="C413" s="84" t="s">
        <v>123</v>
      </c>
      <c r="D413" s="29" t="s">
        <v>116</v>
      </c>
      <c r="E413" s="29" t="s">
        <v>244</v>
      </c>
      <c r="F413" s="28"/>
      <c r="G413" s="69"/>
      <c r="H413" s="121">
        <f>H414</f>
        <v>58.2</v>
      </c>
      <c r="I413" s="30">
        <f>I414</f>
        <v>0</v>
      </c>
    </row>
    <row r="414" spans="1:9" ht="15.75">
      <c r="A414" s="108" t="s">
        <v>155</v>
      </c>
      <c r="B414" s="84" t="s">
        <v>203</v>
      </c>
      <c r="C414" s="84" t="s">
        <v>123</v>
      </c>
      <c r="D414" s="29" t="s">
        <v>116</v>
      </c>
      <c r="E414" s="29" t="s">
        <v>244</v>
      </c>
      <c r="F414" s="28"/>
      <c r="G414" s="69" t="s">
        <v>156</v>
      </c>
      <c r="H414" s="121">
        <f>10+48.2</f>
        <v>58.2</v>
      </c>
      <c r="I414" s="30"/>
    </row>
    <row r="415" spans="1:9" ht="15.75">
      <c r="A415" s="109" t="s">
        <v>18</v>
      </c>
      <c r="B415" s="84" t="s">
        <v>203</v>
      </c>
      <c r="C415" s="84" t="s">
        <v>123</v>
      </c>
      <c r="D415" s="29" t="s">
        <v>116</v>
      </c>
      <c r="E415" s="29" t="s">
        <v>135</v>
      </c>
      <c r="F415" s="28"/>
      <c r="G415" s="69"/>
      <c r="H415" s="121">
        <f>H416</f>
        <v>5994</v>
      </c>
      <c r="I415" s="30">
        <f>I416</f>
        <v>0</v>
      </c>
    </row>
    <row r="416" spans="1:9" ht="15.75">
      <c r="A416" s="108" t="s">
        <v>155</v>
      </c>
      <c r="B416" s="84" t="s">
        <v>203</v>
      </c>
      <c r="C416" s="84" t="s">
        <v>123</v>
      </c>
      <c r="D416" s="29" t="s">
        <v>116</v>
      </c>
      <c r="E416" s="29" t="s">
        <v>135</v>
      </c>
      <c r="F416" s="28"/>
      <c r="G416" s="69" t="s">
        <v>156</v>
      </c>
      <c r="H416" s="121">
        <f>5244+1306-556</f>
        <v>5994</v>
      </c>
      <c r="I416" s="30"/>
    </row>
    <row r="417" spans="1:9" ht="15.75">
      <c r="A417" s="15" t="s">
        <v>83</v>
      </c>
      <c r="B417" s="84" t="s">
        <v>203</v>
      </c>
      <c r="C417" s="84" t="s">
        <v>123</v>
      </c>
      <c r="D417" s="29" t="s">
        <v>116</v>
      </c>
      <c r="E417" s="29" t="s">
        <v>84</v>
      </c>
      <c r="F417" s="28"/>
      <c r="G417" s="69"/>
      <c r="H417" s="121">
        <f>H418+H420</f>
        <v>6369.5</v>
      </c>
      <c r="I417" s="30"/>
    </row>
    <row r="418" spans="1:9" ht="43.5">
      <c r="A418" s="110" t="s">
        <v>233</v>
      </c>
      <c r="B418" s="84" t="s">
        <v>203</v>
      </c>
      <c r="C418" s="84" t="s">
        <v>123</v>
      </c>
      <c r="D418" s="29" t="s">
        <v>116</v>
      </c>
      <c r="E418" s="29" t="s">
        <v>136</v>
      </c>
      <c r="F418" s="28"/>
      <c r="G418" s="69"/>
      <c r="H418" s="121">
        <f>H419</f>
        <v>753.5999999999998</v>
      </c>
      <c r="I418" s="30"/>
    </row>
    <row r="419" spans="1:9" ht="15.75">
      <c r="A419" s="112" t="s">
        <v>94</v>
      </c>
      <c r="B419" s="84" t="s">
        <v>203</v>
      </c>
      <c r="C419" s="84" t="s">
        <v>123</v>
      </c>
      <c r="D419" s="29" t="s">
        <v>116</v>
      </c>
      <c r="E419" s="29" t="s">
        <v>136</v>
      </c>
      <c r="F419" s="28"/>
      <c r="G419" s="69" t="s">
        <v>158</v>
      </c>
      <c r="H419" s="121">
        <f>1751+924.7-1796.2-542.5+416.6</f>
        <v>753.5999999999998</v>
      </c>
      <c r="I419" s="30"/>
    </row>
    <row r="420" spans="1:9" ht="29.25">
      <c r="A420" s="110" t="s">
        <v>214</v>
      </c>
      <c r="B420" s="84" t="s">
        <v>203</v>
      </c>
      <c r="C420" s="89" t="s">
        <v>123</v>
      </c>
      <c r="D420" s="38" t="s">
        <v>116</v>
      </c>
      <c r="E420" s="29" t="s">
        <v>268</v>
      </c>
      <c r="F420" s="37"/>
      <c r="G420" s="69"/>
      <c r="H420" s="121">
        <f>H421+H422</f>
        <v>5615.900000000001</v>
      </c>
      <c r="I420" s="30">
        <f>I421</f>
        <v>0</v>
      </c>
    </row>
    <row r="421" spans="1:9" ht="15.75">
      <c r="A421" s="108" t="s">
        <v>155</v>
      </c>
      <c r="B421" s="84" t="s">
        <v>203</v>
      </c>
      <c r="C421" s="84" t="s">
        <v>123</v>
      </c>
      <c r="D421" s="29" t="s">
        <v>116</v>
      </c>
      <c r="E421" s="29" t="s">
        <v>268</v>
      </c>
      <c r="F421" s="28"/>
      <c r="G421" s="58" t="s">
        <v>156</v>
      </c>
      <c r="H421" s="121">
        <f>3633.8-1559.2+1500+101.1+150</f>
        <v>3825.7000000000003</v>
      </c>
      <c r="I421" s="47"/>
    </row>
    <row r="422" spans="1:9" ht="15.75">
      <c r="A422" s="112" t="s">
        <v>94</v>
      </c>
      <c r="B422" s="84" t="s">
        <v>203</v>
      </c>
      <c r="C422" s="84" t="s">
        <v>123</v>
      </c>
      <c r="D422" s="29" t="s">
        <v>116</v>
      </c>
      <c r="E422" s="29" t="s">
        <v>268</v>
      </c>
      <c r="F422" s="28"/>
      <c r="G422" s="69" t="s">
        <v>158</v>
      </c>
      <c r="H422" s="121">
        <f>792+2101.5+1000-47.7-212+14.1+318-3647.9+14.1+336.8+1559.2+1163.2-1500-101.1</f>
        <v>1790.2000000000003</v>
      </c>
      <c r="I422" s="47"/>
    </row>
    <row r="423" spans="1:9" ht="15.75">
      <c r="A423" s="53" t="s">
        <v>142</v>
      </c>
      <c r="B423" s="85" t="s">
        <v>203</v>
      </c>
      <c r="C423" s="85" t="s">
        <v>196</v>
      </c>
      <c r="D423" s="33"/>
      <c r="E423" s="33"/>
      <c r="F423" s="32"/>
      <c r="G423" s="86"/>
      <c r="H423" s="164">
        <f>H424</f>
        <v>17532.899999999998</v>
      </c>
      <c r="I423" s="34">
        <f>I424</f>
        <v>0</v>
      </c>
    </row>
    <row r="424" spans="1:9" ht="15.75">
      <c r="A424" s="15" t="s">
        <v>197</v>
      </c>
      <c r="B424" s="82" t="s">
        <v>203</v>
      </c>
      <c r="C424" s="82" t="s">
        <v>196</v>
      </c>
      <c r="D424" s="59" t="s">
        <v>114</v>
      </c>
      <c r="E424" s="33"/>
      <c r="F424" s="36"/>
      <c r="G424" s="86"/>
      <c r="H424" s="264">
        <f>H425+H432</f>
        <v>17532.899999999998</v>
      </c>
      <c r="I424" s="61">
        <f>I425+I432</f>
        <v>0</v>
      </c>
    </row>
    <row r="425" spans="1:9" ht="15.75">
      <c r="A425" s="108" t="s">
        <v>50</v>
      </c>
      <c r="B425" s="84" t="s">
        <v>203</v>
      </c>
      <c r="C425" s="84" t="s">
        <v>196</v>
      </c>
      <c r="D425" s="29" t="s">
        <v>114</v>
      </c>
      <c r="E425" s="29" t="s">
        <v>51</v>
      </c>
      <c r="F425" s="28"/>
      <c r="G425" s="69"/>
      <c r="H425" s="121">
        <f>H426+H429</f>
        <v>15655.999999999998</v>
      </c>
      <c r="I425" s="30">
        <f>I426+I429</f>
        <v>0</v>
      </c>
    </row>
    <row r="426" spans="1:9" ht="15.75">
      <c r="A426" s="184" t="s">
        <v>239</v>
      </c>
      <c r="B426" s="84" t="s">
        <v>203</v>
      </c>
      <c r="C426" s="84" t="s">
        <v>196</v>
      </c>
      <c r="D426" s="29" t="s">
        <v>114</v>
      </c>
      <c r="E426" s="37" t="s">
        <v>245</v>
      </c>
      <c r="F426" s="28"/>
      <c r="G426" s="69"/>
      <c r="H426" s="121">
        <f>H428+H427</f>
        <v>796.8</v>
      </c>
      <c r="I426" s="30">
        <f>I428</f>
        <v>0</v>
      </c>
    </row>
    <row r="427" spans="1:9" ht="15.75">
      <c r="A427" s="47" t="s">
        <v>103</v>
      </c>
      <c r="B427" s="84" t="s">
        <v>203</v>
      </c>
      <c r="C427" s="84" t="s">
        <v>196</v>
      </c>
      <c r="D427" s="29" t="s">
        <v>114</v>
      </c>
      <c r="E427" s="37" t="s">
        <v>245</v>
      </c>
      <c r="F427" s="28"/>
      <c r="G427" s="69" t="s">
        <v>56</v>
      </c>
      <c r="H427" s="121">
        <f>3-3</f>
        <v>0</v>
      </c>
      <c r="I427" s="30"/>
    </row>
    <row r="428" spans="1:9" ht="15.75">
      <c r="A428" s="108" t="s">
        <v>155</v>
      </c>
      <c r="B428" s="84" t="s">
        <v>203</v>
      </c>
      <c r="C428" s="84" t="s">
        <v>196</v>
      </c>
      <c r="D428" s="29" t="s">
        <v>114</v>
      </c>
      <c r="E428" s="37" t="s">
        <v>245</v>
      </c>
      <c r="F428" s="28"/>
      <c r="G428" s="69" t="s">
        <v>156</v>
      </c>
      <c r="H428" s="121">
        <f>792.5+1.3+3</f>
        <v>796.8</v>
      </c>
      <c r="I428" s="30"/>
    </row>
    <row r="429" spans="1:9" ht="15.75">
      <c r="A429" s="109" t="s">
        <v>18</v>
      </c>
      <c r="B429" s="84" t="s">
        <v>203</v>
      </c>
      <c r="C429" s="84" t="s">
        <v>196</v>
      </c>
      <c r="D429" s="29" t="s">
        <v>114</v>
      </c>
      <c r="E429" s="29" t="s">
        <v>143</v>
      </c>
      <c r="F429" s="28"/>
      <c r="G429" s="69"/>
      <c r="H429" s="121">
        <f>H431+H430</f>
        <v>14859.199999999999</v>
      </c>
      <c r="I429" s="30">
        <f>I431</f>
        <v>0</v>
      </c>
    </row>
    <row r="430" spans="1:9" ht="15.75">
      <c r="A430" s="47" t="s">
        <v>103</v>
      </c>
      <c r="B430" s="84" t="s">
        <v>203</v>
      </c>
      <c r="C430" s="84" t="s">
        <v>196</v>
      </c>
      <c r="D430" s="29" t="s">
        <v>114</v>
      </c>
      <c r="E430" s="29" t="s">
        <v>143</v>
      </c>
      <c r="F430" s="28"/>
      <c r="G430" s="69" t="s">
        <v>56</v>
      </c>
      <c r="H430" s="121">
        <v>2.4</v>
      </c>
      <c r="I430" s="30"/>
    </row>
    <row r="431" spans="1:9" ht="15.75">
      <c r="A431" s="108" t="s">
        <v>155</v>
      </c>
      <c r="B431" s="84" t="s">
        <v>203</v>
      </c>
      <c r="C431" s="84" t="s">
        <v>196</v>
      </c>
      <c r="D431" s="29" t="s">
        <v>114</v>
      </c>
      <c r="E431" s="29" t="s">
        <v>143</v>
      </c>
      <c r="F431" s="28"/>
      <c r="G431" s="58" t="s">
        <v>156</v>
      </c>
      <c r="H431" s="121">
        <f>10642.3+1214.5+3000+200-200</f>
        <v>14856.8</v>
      </c>
      <c r="I431" s="47"/>
    </row>
    <row r="432" spans="1:9" ht="15.75">
      <c r="A432" s="108" t="s">
        <v>83</v>
      </c>
      <c r="B432" s="84" t="s">
        <v>203</v>
      </c>
      <c r="C432" s="84" t="s">
        <v>196</v>
      </c>
      <c r="D432" s="29" t="s">
        <v>114</v>
      </c>
      <c r="E432" s="29" t="s">
        <v>84</v>
      </c>
      <c r="F432" s="28"/>
      <c r="G432" s="69"/>
      <c r="H432" s="121">
        <f>H433</f>
        <v>1876.9</v>
      </c>
      <c r="I432" s="30">
        <f>I433</f>
        <v>0</v>
      </c>
    </row>
    <row r="433" spans="1:9" ht="43.5">
      <c r="A433" s="110" t="s">
        <v>253</v>
      </c>
      <c r="B433" s="84" t="s">
        <v>203</v>
      </c>
      <c r="C433" s="84" t="s">
        <v>196</v>
      </c>
      <c r="D433" s="29" t="s">
        <v>114</v>
      </c>
      <c r="E433" s="29" t="s">
        <v>270</v>
      </c>
      <c r="F433" s="28"/>
      <c r="G433" s="58"/>
      <c r="H433" s="121">
        <f>H435+H434</f>
        <v>1876.9</v>
      </c>
      <c r="I433" s="47"/>
    </row>
    <row r="434" spans="1:9" ht="15.75">
      <c r="A434" s="108" t="s">
        <v>155</v>
      </c>
      <c r="B434" s="84" t="s">
        <v>203</v>
      </c>
      <c r="C434" s="84" t="s">
        <v>196</v>
      </c>
      <c r="D434" s="29" t="s">
        <v>114</v>
      </c>
      <c r="E434" s="29" t="s">
        <v>270</v>
      </c>
      <c r="F434" s="28"/>
      <c r="G434" s="58" t="s">
        <v>156</v>
      </c>
      <c r="H434" s="121">
        <f>1491-114.1+300-300-1186.1+200+300</f>
        <v>690.8000000000002</v>
      </c>
      <c r="I434" s="47"/>
    </row>
    <row r="435" spans="1:9" ht="16.5" thickBot="1">
      <c r="A435" s="112" t="s">
        <v>94</v>
      </c>
      <c r="B435" s="204" t="s">
        <v>203</v>
      </c>
      <c r="C435" s="204" t="s">
        <v>196</v>
      </c>
      <c r="D435" s="194" t="s">
        <v>114</v>
      </c>
      <c r="E435" s="49" t="s">
        <v>270</v>
      </c>
      <c r="F435" s="205"/>
      <c r="G435" s="206" t="s">
        <v>158</v>
      </c>
      <c r="H435" s="229">
        <f>300+1186.1-300</f>
        <v>1186.1</v>
      </c>
      <c r="I435" s="207"/>
    </row>
    <row r="436" spans="1:9" ht="72.75" thickBot="1">
      <c r="A436" s="231" t="s">
        <v>278</v>
      </c>
      <c r="B436" s="80" t="s">
        <v>257</v>
      </c>
      <c r="C436" s="80"/>
      <c r="D436" s="22"/>
      <c r="E436" s="22"/>
      <c r="F436" s="20"/>
      <c r="G436" s="98"/>
      <c r="H436" s="119">
        <f aca="true" t="shared" si="12" ref="H436:I438">H437</f>
        <v>5660.099999999999</v>
      </c>
      <c r="I436" s="23">
        <f t="shared" si="12"/>
        <v>0</v>
      </c>
    </row>
    <row r="437" spans="1:9" ht="15.75">
      <c r="A437" s="233" t="s">
        <v>13</v>
      </c>
      <c r="B437" s="95" t="s">
        <v>257</v>
      </c>
      <c r="C437" s="95" t="s">
        <v>114</v>
      </c>
      <c r="D437" s="26"/>
      <c r="E437" s="59"/>
      <c r="F437" s="25"/>
      <c r="G437" s="106"/>
      <c r="H437" s="189">
        <f>H438+H446</f>
        <v>5660.099999999999</v>
      </c>
      <c r="I437" s="27">
        <f t="shared" si="12"/>
        <v>0</v>
      </c>
    </row>
    <row r="438" spans="1:9" ht="45">
      <c r="A438" s="71" t="s">
        <v>164</v>
      </c>
      <c r="B438" s="85" t="s">
        <v>257</v>
      </c>
      <c r="C438" s="85" t="s">
        <v>114</v>
      </c>
      <c r="D438" s="33" t="s">
        <v>119</v>
      </c>
      <c r="E438" s="33"/>
      <c r="F438" s="32"/>
      <c r="G438" s="99"/>
      <c r="H438" s="164">
        <f t="shared" si="12"/>
        <v>5109.2</v>
      </c>
      <c r="I438" s="34">
        <f t="shared" si="12"/>
        <v>0</v>
      </c>
    </row>
    <row r="439" spans="1:9" ht="43.5">
      <c r="A439" s="110" t="s">
        <v>161</v>
      </c>
      <c r="B439" s="84" t="s">
        <v>257</v>
      </c>
      <c r="C439" s="84" t="s">
        <v>114</v>
      </c>
      <c r="D439" s="29" t="s">
        <v>119</v>
      </c>
      <c r="E439" s="29" t="s">
        <v>157</v>
      </c>
      <c r="F439" s="28"/>
      <c r="G439" s="58"/>
      <c r="H439" s="121">
        <f>H442+H440+H444</f>
        <v>5109.2</v>
      </c>
      <c r="I439" s="30">
        <f>I442+I440+I444</f>
        <v>0</v>
      </c>
    </row>
    <row r="440" spans="1:9" ht="15.75">
      <c r="A440" s="108" t="s">
        <v>37</v>
      </c>
      <c r="B440" s="84" t="s">
        <v>257</v>
      </c>
      <c r="C440" s="84" t="s">
        <v>114</v>
      </c>
      <c r="D440" s="29" t="s">
        <v>119</v>
      </c>
      <c r="E440" s="29" t="s">
        <v>159</v>
      </c>
      <c r="F440" s="28"/>
      <c r="G440" s="58"/>
      <c r="H440" s="121">
        <f>H441</f>
        <v>2709.2</v>
      </c>
      <c r="I440" s="30"/>
    </row>
    <row r="441" spans="1:9" ht="15.75">
      <c r="A441" s="112" t="s">
        <v>94</v>
      </c>
      <c r="B441" s="84" t="s">
        <v>257</v>
      </c>
      <c r="C441" s="84" t="s">
        <v>114</v>
      </c>
      <c r="D441" s="29" t="s">
        <v>119</v>
      </c>
      <c r="E441" s="29" t="s">
        <v>159</v>
      </c>
      <c r="F441" s="28"/>
      <c r="G441" s="58" t="s">
        <v>158</v>
      </c>
      <c r="H441" s="121">
        <f>2444.5-490.8+491+264.5</f>
        <v>2709.2</v>
      </c>
      <c r="I441" s="30"/>
    </row>
    <row r="442" spans="1:9" ht="29.25">
      <c r="A442" s="110" t="s">
        <v>165</v>
      </c>
      <c r="B442" s="84" t="s">
        <v>257</v>
      </c>
      <c r="C442" s="84" t="s">
        <v>114</v>
      </c>
      <c r="D442" s="29" t="s">
        <v>119</v>
      </c>
      <c r="E442" s="29" t="s">
        <v>166</v>
      </c>
      <c r="F442" s="28"/>
      <c r="G442" s="58"/>
      <c r="H442" s="121">
        <f>H443</f>
        <v>2397</v>
      </c>
      <c r="I442" s="30">
        <f>I443</f>
        <v>0</v>
      </c>
    </row>
    <row r="443" spans="1:9" ht="15.75">
      <c r="A443" s="108" t="s">
        <v>94</v>
      </c>
      <c r="B443" s="84" t="s">
        <v>257</v>
      </c>
      <c r="C443" s="84" t="s">
        <v>114</v>
      </c>
      <c r="D443" s="29" t="s">
        <v>119</v>
      </c>
      <c r="E443" s="29" t="s">
        <v>166</v>
      </c>
      <c r="F443" s="28"/>
      <c r="G443" s="58" t="s">
        <v>158</v>
      </c>
      <c r="H443" s="121">
        <f>1746.7+543.4-491+597.9</f>
        <v>2397</v>
      </c>
      <c r="I443" s="30"/>
    </row>
    <row r="444" spans="1:9" ht="15.75">
      <c r="A444" s="184" t="s">
        <v>239</v>
      </c>
      <c r="B444" s="84" t="s">
        <v>257</v>
      </c>
      <c r="C444" s="84" t="s">
        <v>114</v>
      </c>
      <c r="D444" s="29" t="s">
        <v>195</v>
      </c>
      <c r="E444" s="29" t="s">
        <v>240</v>
      </c>
      <c r="F444" s="28"/>
      <c r="G444" s="58"/>
      <c r="H444" s="121">
        <f>H445</f>
        <v>3</v>
      </c>
      <c r="I444" s="30"/>
    </row>
    <row r="445" spans="1:9" ht="15.75">
      <c r="A445" s="112" t="s">
        <v>94</v>
      </c>
      <c r="B445" s="91" t="s">
        <v>257</v>
      </c>
      <c r="C445" s="91" t="s">
        <v>114</v>
      </c>
      <c r="D445" s="49" t="s">
        <v>195</v>
      </c>
      <c r="E445" s="29" t="s">
        <v>240</v>
      </c>
      <c r="F445" s="28"/>
      <c r="G445" s="58" t="s">
        <v>158</v>
      </c>
      <c r="H445" s="121">
        <v>3</v>
      </c>
      <c r="I445" s="30"/>
    </row>
    <row r="446" spans="1:9" ht="15.75">
      <c r="A446" s="15" t="s">
        <v>52</v>
      </c>
      <c r="B446" s="82" t="s">
        <v>257</v>
      </c>
      <c r="C446" s="82" t="s">
        <v>114</v>
      </c>
      <c r="D446" s="59" t="s">
        <v>195</v>
      </c>
      <c r="E446" s="59"/>
      <c r="F446" s="36"/>
      <c r="G446" s="181"/>
      <c r="H446" s="230">
        <f>H447</f>
        <v>550.9</v>
      </c>
      <c r="I446" s="83"/>
    </row>
    <row r="447" spans="1:9" ht="15.75">
      <c r="A447" s="108" t="s">
        <v>83</v>
      </c>
      <c r="B447" s="84" t="s">
        <v>257</v>
      </c>
      <c r="C447" s="84" t="s">
        <v>114</v>
      </c>
      <c r="D447" s="29" t="s">
        <v>195</v>
      </c>
      <c r="E447" s="29" t="s">
        <v>84</v>
      </c>
      <c r="F447" s="28"/>
      <c r="G447" s="58"/>
      <c r="H447" s="121">
        <f>H448</f>
        <v>550.9</v>
      </c>
      <c r="I447" s="30"/>
    </row>
    <row r="448" spans="1:9" ht="43.5">
      <c r="A448" s="110" t="s">
        <v>218</v>
      </c>
      <c r="B448" s="84" t="s">
        <v>257</v>
      </c>
      <c r="C448" s="84" t="s">
        <v>114</v>
      </c>
      <c r="D448" s="29" t="s">
        <v>195</v>
      </c>
      <c r="E448" s="29" t="s">
        <v>136</v>
      </c>
      <c r="F448" s="28"/>
      <c r="G448" s="58"/>
      <c r="H448" s="121">
        <f>H449</f>
        <v>550.9</v>
      </c>
      <c r="I448" s="30"/>
    </row>
    <row r="449" spans="1:9" ht="21" customHeight="1" thickBot="1">
      <c r="A449" s="109" t="s">
        <v>94</v>
      </c>
      <c r="B449" s="89" t="s">
        <v>257</v>
      </c>
      <c r="C449" s="89" t="s">
        <v>114</v>
      </c>
      <c r="D449" s="38" t="s">
        <v>195</v>
      </c>
      <c r="E449" s="29" t="s">
        <v>136</v>
      </c>
      <c r="F449" s="37"/>
      <c r="G449" s="100" t="s">
        <v>158</v>
      </c>
      <c r="H449" s="165">
        <f>784.1+525-597.9-264.5+104.2</f>
        <v>550.9</v>
      </c>
      <c r="I449" s="39"/>
    </row>
    <row r="450" spans="1:9" s="3" customFormat="1" ht="54.75" thickBot="1">
      <c r="A450" s="279" t="s">
        <v>276</v>
      </c>
      <c r="B450" s="20" t="s">
        <v>204</v>
      </c>
      <c r="C450" s="22"/>
      <c r="D450" s="20"/>
      <c r="E450" s="22"/>
      <c r="F450" s="20"/>
      <c r="G450" s="280"/>
      <c r="H450" s="23">
        <f>H451+H463+H468+H476</f>
        <v>13610.599999999999</v>
      </c>
      <c r="I450" s="23">
        <f>I451+I463+I468</f>
        <v>0</v>
      </c>
    </row>
    <row r="451" spans="1:9" s="3" customFormat="1" ht="15.75">
      <c r="A451" s="247" t="s">
        <v>13</v>
      </c>
      <c r="B451" s="36" t="s">
        <v>204</v>
      </c>
      <c r="C451" s="59" t="s">
        <v>114</v>
      </c>
      <c r="D451" s="36"/>
      <c r="E451" s="59"/>
      <c r="F451" s="265"/>
      <c r="G451" s="278"/>
      <c r="H451" s="61">
        <f>H452</f>
        <v>9610.599999999999</v>
      </c>
      <c r="I451" s="61">
        <f aca="true" t="shared" si="13" ref="H451:I454">I452</f>
        <v>0</v>
      </c>
    </row>
    <row r="452" spans="1:9" s="3" customFormat="1" ht="15.75">
      <c r="A452" s="35" t="s">
        <v>52</v>
      </c>
      <c r="B452" s="32" t="s">
        <v>204</v>
      </c>
      <c r="C452" s="33" t="s">
        <v>114</v>
      </c>
      <c r="D452" s="32" t="s">
        <v>195</v>
      </c>
      <c r="E452" s="33"/>
      <c r="F452" s="263"/>
      <c r="G452" s="277"/>
      <c r="H452" s="34">
        <f>H453+H458</f>
        <v>9610.599999999999</v>
      </c>
      <c r="I452" s="34">
        <f t="shared" si="13"/>
        <v>0</v>
      </c>
    </row>
    <row r="453" spans="1:9" s="3" customFormat="1" ht="15.75">
      <c r="A453" s="47" t="s">
        <v>14</v>
      </c>
      <c r="B453" s="28" t="s">
        <v>204</v>
      </c>
      <c r="C453" s="29" t="s">
        <v>114</v>
      </c>
      <c r="D453" s="28" t="s">
        <v>195</v>
      </c>
      <c r="E453" s="29" t="s">
        <v>157</v>
      </c>
      <c r="F453" s="75"/>
      <c r="G453" s="88"/>
      <c r="H453" s="30">
        <f>H454+H456</f>
        <v>8565.9</v>
      </c>
      <c r="I453" s="30">
        <f t="shared" si="13"/>
        <v>0</v>
      </c>
    </row>
    <row r="454" spans="1:9" s="3" customFormat="1" ht="15.75">
      <c r="A454" s="47" t="s">
        <v>37</v>
      </c>
      <c r="B454" s="28" t="s">
        <v>204</v>
      </c>
      <c r="C454" s="29" t="s">
        <v>114</v>
      </c>
      <c r="D454" s="28" t="s">
        <v>195</v>
      </c>
      <c r="E454" s="29" t="s">
        <v>159</v>
      </c>
      <c r="F454" s="75"/>
      <c r="G454" s="88"/>
      <c r="H454" s="30">
        <f t="shared" si="13"/>
        <v>8540.9</v>
      </c>
      <c r="I454" s="30">
        <f t="shared" si="13"/>
        <v>0</v>
      </c>
    </row>
    <row r="455" spans="1:9" s="3" customFormat="1" ht="15.75">
      <c r="A455" s="47" t="s">
        <v>94</v>
      </c>
      <c r="B455" s="28" t="s">
        <v>204</v>
      </c>
      <c r="C455" s="29" t="s">
        <v>114</v>
      </c>
      <c r="D455" s="28" t="s">
        <v>195</v>
      </c>
      <c r="E455" s="29" t="s">
        <v>159</v>
      </c>
      <c r="F455" s="75"/>
      <c r="G455" s="88" t="s">
        <v>158</v>
      </c>
      <c r="H455" s="30">
        <f>6449.8-266.9+1828+552.1-22.1</f>
        <v>8540.9</v>
      </c>
      <c r="I455" s="47"/>
    </row>
    <row r="456" spans="1:9" s="3" customFormat="1" ht="15.75">
      <c r="A456" s="275" t="s">
        <v>239</v>
      </c>
      <c r="B456" s="28" t="s">
        <v>204</v>
      </c>
      <c r="C456" s="29" t="s">
        <v>114</v>
      </c>
      <c r="D456" s="28" t="s">
        <v>195</v>
      </c>
      <c r="E456" s="29" t="s">
        <v>240</v>
      </c>
      <c r="F456" s="75"/>
      <c r="G456" s="88"/>
      <c r="H456" s="30">
        <f>H457</f>
        <v>25</v>
      </c>
      <c r="I456" s="47"/>
    </row>
    <row r="457" spans="1:9" s="3" customFormat="1" ht="15.75">
      <c r="A457" s="47" t="s">
        <v>94</v>
      </c>
      <c r="B457" s="28" t="s">
        <v>204</v>
      </c>
      <c r="C457" s="29" t="s">
        <v>114</v>
      </c>
      <c r="D457" s="28" t="s">
        <v>195</v>
      </c>
      <c r="E457" s="29" t="s">
        <v>240</v>
      </c>
      <c r="F457" s="75"/>
      <c r="G457" s="88" t="s">
        <v>158</v>
      </c>
      <c r="H457" s="30">
        <f>25</f>
        <v>25</v>
      </c>
      <c r="I457" s="47"/>
    </row>
    <row r="458" spans="1:9" s="3" customFormat="1" ht="15.75">
      <c r="A458" s="47" t="s">
        <v>83</v>
      </c>
      <c r="B458" s="28" t="s">
        <v>204</v>
      </c>
      <c r="C458" s="29" t="s">
        <v>114</v>
      </c>
      <c r="D458" s="28" t="s">
        <v>195</v>
      </c>
      <c r="E458" s="29" t="s">
        <v>84</v>
      </c>
      <c r="F458" s="75"/>
      <c r="G458" s="88"/>
      <c r="H458" s="30">
        <f>H459+H461</f>
        <v>1044.6999999999998</v>
      </c>
      <c r="I458" s="47"/>
    </row>
    <row r="459" spans="1:9" s="3" customFormat="1" ht="43.5">
      <c r="A459" s="115" t="s">
        <v>218</v>
      </c>
      <c r="B459" s="28" t="s">
        <v>204</v>
      </c>
      <c r="C459" s="29" t="s">
        <v>114</v>
      </c>
      <c r="D459" s="28" t="s">
        <v>195</v>
      </c>
      <c r="E459" s="29" t="s">
        <v>136</v>
      </c>
      <c r="F459" s="75"/>
      <c r="G459" s="88"/>
      <c r="H459" s="30">
        <f>H460</f>
        <v>694.6999999999998</v>
      </c>
      <c r="I459" s="47"/>
    </row>
    <row r="460" spans="1:9" s="3" customFormat="1" ht="15.75">
      <c r="A460" s="47" t="s">
        <v>94</v>
      </c>
      <c r="B460" s="28" t="s">
        <v>204</v>
      </c>
      <c r="C460" s="29" t="s">
        <v>114</v>
      </c>
      <c r="D460" s="28" t="s">
        <v>195</v>
      </c>
      <c r="E460" s="29" t="s">
        <v>136</v>
      </c>
      <c r="F460" s="75"/>
      <c r="G460" s="88" t="s">
        <v>158</v>
      </c>
      <c r="H460" s="30">
        <f>1562.1+1178.1-1828-552.1+22.1+312.5</f>
        <v>694.6999999999998</v>
      </c>
      <c r="I460" s="47"/>
    </row>
    <row r="461" spans="1:9" s="3" customFormat="1" ht="85.5">
      <c r="A461" s="276" t="s">
        <v>209</v>
      </c>
      <c r="B461" s="28" t="s">
        <v>204</v>
      </c>
      <c r="C461" s="29" t="s">
        <v>114</v>
      </c>
      <c r="D461" s="28" t="s">
        <v>195</v>
      </c>
      <c r="E461" s="29" t="s">
        <v>210</v>
      </c>
      <c r="F461" s="75"/>
      <c r="G461" s="88"/>
      <c r="H461" s="30">
        <f>H462</f>
        <v>350</v>
      </c>
      <c r="I461" s="47"/>
    </row>
    <row r="462" spans="1:9" s="3" customFormat="1" ht="15.75">
      <c r="A462" s="47" t="s">
        <v>94</v>
      </c>
      <c r="B462" s="28" t="s">
        <v>204</v>
      </c>
      <c r="C462" s="29" t="s">
        <v>114</v>
      </c>
      <c r="D462" s="28" t="s">
        <v>195</v>
      </c>
      <c r="E462" s="29" t="s">
        <v>210</v>
      </c>
      <c r="F462" s="75"/>
      <c r="G462" s="88" t="s">
        <v>158</v>
      </c>
      <c r="H462" s="30">
        <v>350</v>
      </c>
      <c r="I462" s="47"/>
    </row>
    <row r="463" spans="1:9" s="3" customFormat="1" ht="30">
      <c r="A463" s="31" t="s">
        <v>76</v>
      </c>
      <c r="B463" s="32" t="s">
        <v>204</v>
      </c>
      <c r="C463" s="33" t="s">
        <v>119</v>
      </c>
      <c r="D463" s="32"/>
      <c r="E463" s="33"/>
      <c r="F463" s="263"/>
      <c r="G463" s="277"/>
      <c r="H463" s="34">
        <f>H464</f>
        <v>300</v>
      </c>
      <c r="I463" s="34"/>
    </row>
    <row r="464" spans="1:9" s="3" customFormat="1" ht="30">
      <c r="A464" s="31" t="s">
        <v>71</v>
      </c>
      <c r="B464" s="32" t="s">
        <v>204</v>
      </c>
      <c r="C464" s="33" t="s">
        <v>119</v>
      </c>
      <c r="D464" s="32" t="s">
        <v>118</v>
      </c>
      <c r="E464" s="33"/>
      <c r="F464" s="263"/>
      <c r="G464" s="277"/>
      <c r="H464" s="34">
        <f>H465</f>
        <v>300</v>
      </c>
      <c r="I464" s="34"/>
    </row>
    <row r="465" spans="1:9" s="3" customFormat="1" ht="15.75">
      <c r="A465" s="47" t="s">
        <v>83</v>
      </c>
      <c r="B465" s="28" t="s">
        <v>204</v>
      </c>
      <c r="C465" s="29" t="s">
        <v>119</v>
      </c>
      <c r="D465" s="28" t="s">
        <v>118</v>
      </c>
      <c r="E465" s="29" t="s">
        <v>84</v>
      </c>
      <c r="F465" s="75"/>
      <c r="G465" s="88"/>
      <c r="H465" s="30">
        <f>H466</f>
        <v>300</v>
      </c>
      <c r="I465" s="30">
        <f>I466</f>
        <v>0</v>
      </c>
    </row>
    <row r="466" spans="1:9" s="3" customFormat="1" ht="43.5">
      <c r="A466" s="127" t="s">
        <v>254</v>
      </c>
      <c r="B466" s="28" t="s">
        <v>204</v>
      </c>
      <c r="C466" s="29" t="s">
        <v>119</v>
      </c>
      <c r="D466" s="28" t="s">
        <v>118</v>
      </c>
      <c r="E466" s="29" t="s">
        <v>150</v>
      </c>
      <c r="F466" s="75"/>
      <c r="G466" s="88"/>
      <c r="H466" s="30">
        <f>H467</f>
        <v>300</v>
      </c>
      <c r="I466" s="47"/>
    </row>
    <row r="467" spans="1:9" s="3" customFormat="1" ht="15.75">
      <c r="A467" s="47" t="s">
        <v>94</v>
      </c>
      <c r="B467" s="28" t="s">
        <v>204</v>
      </c>
      <c r="C467" s="29" t="s">
        <v>119</v>
      </c>
      <c r="D467" s="28" t="s">
        <v>118</v>
      </c>
      <c r="E467" s="29" t="s">
        <v>150</v>
      </c>
      <c r="F467" s="75"/>
      <c r="G467" s="88" t="s">
        <v>158</v>
      </c>
      <c r="H467" s="30">
        <v>300</v>
      </c>
      <c r="I467" s="118"/>
    </row>
    <row r="468" spans="1:9" s="3" customFormat="1" ht="15.75">
      <c r="A468" s="35" t="s">
        <v>16</v>
      </c>
      <c r="B468" s="32" t="s">
        <v>204</v>
      </c>
      <c r="C468" s="33" t="s">
        <v>127</v>
      </c>
      <c r="D468" s="28"/>
      <c r="E468" s="29"/>
      <c r="F468" s="75"/>
      <c r="G468" s="88"/>
      <c r="H468" s="121">
        <f>H472+H469</f>
        <v>3100</v>
      </c>
      <c r="I468" s="47"/>
    </row>
    <row r="469" spans="1:9" s="3" customFormat="1" ht="15.75">
      <c r="A469" s="358" t="s">
        <v>471</v>
      </c>
      <c r="B469" s="38" t="s">
        <v>204</v>
      </c>
      <c r="C469" s="131" t="s">
        <v>127</v>
      </c>
      <c r="D469" s="89" t="s">
        <v>115</v>
      </c>
      <c r="E469" s="29" t="s">
        <v>472</v>
      </c>
      <c r="F469" s="32"/>
      <c r="G469" s="99"/>
      <c r="H469" s="121">
        <f>H470</f>
        <v>0</v>
      </c>
      <c r="I469" s="47"/>
    </row>
    <row r="470" spans="1:9" s="3" customFormat="1" ht="15.75">
      <c r="A470" s="358" t="s">
        <v>473</v>
      </c>
      <c r="B470" s="38" t="s">
        <v>204</v>
      </c>
      <c r="C470" s="131" t="s">
        <v>127</v>
      </c>
      <c r="D470" s="89" t="s">
        <v>115</v>
      </c>
      <c r="E470" s="29" t="s">
        <v>474</v>
      </c>
      <c r="F470" s="32"/>
      <c r="G470" s="99"/>
      <c r="H470" s="121">
        <f>H471</f>
        <v>0</v>
      </c>
      <c r="I470" s="47"/>
    </row>
    <row r="471" spans="1:9" s="3" customFormat="1" ht="15.75">
      <c r="A471" s="236" t="s">
        <v>94</v>
      </c>
      <c r="B471" s="38" t="s">
        <v>204</v>
      </c>
      <c r="C471" s="131" t="s">
        <v>127</v>
      </c>
      <c r="D471" s="89" t="s">
        <v>115</v>
      </c>
      <c r="E471" s="29" t="s">
        <v>474</v>
      </c>
      <c r="F471" s="32"/>
      <c r="G471" s="58" t="s">
        <v>158</v>
      </c>
      <c r="H471" s="121">
        <v>0</v>
      </c>
      <c r="I471" s="47"/>
    </row>
    <row r="472" spans="1:9" s="3" customFormat="1" ht="15.75">
      <c r="A472" s="35" t="s">
        <v>86</v>
      </c>
      <c r="B472" s="32" t="s">
        <v>204</v>
      </c>
      <c r="C472" s="33" t="s">
        <v>127</v>
      </c>
      <c r="D472" s="32" t="s">
        <v>119</v>
      </c>
      <c r="E472" s="33"/>
      <c r="F472" s="263"/>
      <c r="G472" s="277"/>
      <c r="H472" s="121">
        <f>H473</f>
        <v>3100</v>
      </c>
      <c r="I472" s="47"/>
    </row>
    <row r="473" spans="1:9" s="3" customFormat="1" ht="15.75">
      <c r="A473" s="47" t="s">
        <v>83</v>
      </c>
      <c r="B473" s="28" t="s">
        <v>204</v>
      </c>
      <c r="C473" s="29" t="s">
        <v>127</v>
      </c>
      <c r="D473" s="28" t="s">
        <v>119</v>
      </c>
      <c r="E473" s="29" t="s">
        <v>84</v>
      </c>
      <c r="F473" s="75"/>
      <c r="G473" s="88"/>
      <c r="H473" s="121">
        <f>H474</f>
        <v>3100</v>
      </c>
      <c r="I473" s="47"/>
    </row>
    <row r="474" spans="1:9" s="3" customFormat="1" ht="29.25">
      <c r="A474" s="115" t="s">
        <v>261</v>
      </c>
      <c r="B474" s="28" t="s">
        <v>204</v>
      </c>
      <c r="C474" s="29" t="s">
        <v>127</v>
      </c>
      <c r="D474" s="28" t="s">
        <v>119</v>
      </c>
      <c r="E474" s="29" t="s">
        <v>264</v>
      </c>
      <c r="F474" s="75"/>
      <c r="G474" s="88"/>
      <c r="H474" s="121">
        <f>H475</f>
        <v>3100</v>
      </c>
      <c r="I474" s="47"/>
    </row>
    <row r="475" spans="1:9" s="3" customFormat="1" ht="15.75">
      <c r="A475" s="47" t="s">
        <v>94</v>
      </c>
      <c r="B475" s="28" t="s">
        <v>204</v>
      </c>
      <c r="C475" s="29" t="s">
        <v>127</v>
      </c>
      <c r="D475" s="28" t="s">
        <v>119</v>
      </c>
      <c r="E475" s="29" t="s">
        <v>264</v>
      </c>
      <c r="F475" s="75"/>
      <c r="G475" s="88" t="s">
        <v>158</v>
      </c>
      <c r="H475" s="121">
        <f>2900+200</f>
        <v>3100</v>
      </c>
      <c r="I475" s="47"/>
    </row>
    <row r="476" spans="1:9" s="3" customFormat="1" ht="15.75">
      <c r="A476" s="53" t="s">
        <v>31</v>
      </c>
      <c r="B476" s="85" t="s">
        <v>204</v>
      </c>
      <c r="C476" s="33" t="s">
        <v>130</v>
      </c>
      <c r="D476" s="85"/>
      <c r="E476" s="33"/>
      <c r="F476" s="32"/>
      <c r="G476" s="99"/>
      <c r="H476" s="230">
        <f>H477</f>
        <v>600</v>
      </c>
      <c r="I476" s="126"/>
    </row>
    <row r="477" spans="1:9" s="3" customFormat="1" ht="15.75">
      <c r="A477" s="15" t="s">
        <v>32</v>
      </c>
      <c r="B477" s="82" t="s">
        <v>204</v>
      </c>
      <c r="C477" s="59" t="s">
        <v>130</v>
      </c>
      <c r="D477" s="82" t="s">
        <v>127</v>
      </c>
      <c r="E477" s="33"/>
      <c r="F477" s="32"/>
      <c r="G477" s="99"/>
      <c r="H477" s="257">
        <f>H478</f>
        <v>600</v>
      </c>
      <c r="I477" s="47"/>
    </row>
    <row r="478" spans="1:9" s="3" customFormat="1" ht="15.75">
      <c r="A478" s="109" t="s">
        <v>83</v>
      </c>
      <c r="B478" s="84" t="s">
        <v>204</v>
      </c>
      <c r="C478" s="29" t="s">
        <v>130</v>
      </c>
      <c r="D478" s="84" t="s">
        <v>127</v>
      </c>
      <c r="E478" s="29" t="s">
        <v>84</v>
      </c>
      <c r="F478" s="28"/>
      <c r="G478" s="58"/>
      <c r="H478" s="257">
        <f>H479</f>
        <v>600</v>
      </c>
      <c r="I478" s="47"/>
    </row>
    <row r="479" spans="1:9" s="3" customFormat="1" ht="57.75">
      <c r="A479" s="159" t="s">
        <v>311</v>
      </c>
      <c r="B479" s="89" t="s">
        <v>204</v>
      </c>
      <c r="C479" s="38" t="s">
        <v>130</v>
      </c>
      <c r="D479" s="89" t="s">
        <v>127</v>
      </c>
      <c r="E479" s="29" t="s">
        <v>265</v>
      </c>
      <c r="F479" s="37"/>
      <c r="G479" s="58"/>
      <c r="H479" s="257">
        <f>H480</f>
        <v>600</v>
      </c>
      <c r="I479" s="47"/>
    </row>
    <row r="480" spans="1:9" s="3" customFormat="1" ht="16.5" thickBot="1">
      <c r="A480" s="108" t="s">
        <v>94</v>
      </c>
      <c r="B480" s="84" t="s">
        <v>204</v>
      </c>
      <c r="C480" s="29" t="s">
        <v>130</v>
      </c>
      <c r="D480" s="84" t="s">
        <v>127</v>
      </c>
      <c r="E480" s="29" t="s">
        <v>265</v>
      </c>
      <c r="F480" s="28"/>
      <c r="G480" s="58" t="s">
        <v>158</v>
      </c>
      <c r="H480" s="257">
        <v>600</v>
      </c>
      <c r="I480" s="47"/>
    </row>
    <row r="481" spans="1:9" s="4" customFormat="1" ht="36.75" thickBot="1">
      <c r="A481" s="231" t="s">
        <v>277</v>
      </c>
      <c r="B481" s="80" t="s">
        <v>205</v>
      </c>
      <c r="C481" s="22"/>
      <c r="D481" s="214"/>
      <c r="E481" s="22"/>
      <c r="F481" s="20"/>
      <c r="G481" s="98"/>
      <c r="H481" s="119">
        <f aca="true" t="shared" si="14" ref="H481:I484">H482</f>
        <v>17718.1</v>
      </c>
      <c r="I481" s="203">
        <f t="shared" si="14"/>
        <v>0</v>
      </c>
    </row>
    <row r="482" spans="1:9" ht="15.75">
      <c r="A482" s="15" t="s">
        <v>13</v>
      </c>
      <c r="B482" s="26" t="s">
        <v>205</v>
      </c>
      <c r="C482" s="82" t="s">
        <v>114</v>
      </c>
      <c r="D482" s="59"/>
      <c r="E482" s="33"/>
      <c r="F482" s="36"/>
      <c r="G482" s="93"/>
      <c r="H482" s="264">
        <f>H483+H488</f>
        <v>17718.1</v>
      </c>
      <c r="I482" s="61">
        <f t="shared" si="14"/>
        <v>0</v>
      </c>
    </row>
    <row r="483" spans="1:9" ht="45">
      <c r="A483" s="71" t="s">
        <v>183</v>
      </c>
      <c r="B483" s="33" t="s">
        <v>205</v>
      </c>
      <c r="C483" s="85" t="s">
        <v>114</v>
      </c>
      <c r="D483" s="33" t="s">
        <v>130</v>
      </c>
      <c r="E483" s="33"/>
      <c r="F483" s="32"/>
      <c r="G483" s="86"/>
      <c r="H483" s="164">
        <f>H484+H486</f>
        <v>15220.5</v>
      </c>
      <c r="I483" s="34">
        <f t="shared" si="14"/>
        <v>0</v>
      </c>
    </row>
    <row r="484" spans="1:9" ht="15.75">
      <c r="A484" s="108" t="s">
        <v>37</v>
      </c>
      <c r="B484" s="29" t="s">
        <v>205</v>
      </c>
      <c r="C484" s="84" t="s">
        <v>114</v>
      </c>
      <c r="D484" s="29" t="s">
        <v>130</v>
      </c>
      <c r="E484" s="29" t="s">
        <v>159</v>
      </c>
      <c r="F484" s="28"/>
      <c r="G484" s="69"/>
      <c r="H484" s="121">
        <f t="shared" si="14"/>
        <v>15170.5</v>
      </c>
      <c r="I484" s="30">
        <f t="shared" si="14"/>
        <v>0</v>
      </c>
    </row>
    <row r="485" spans="1:9" ht="15.75">
      <c r="A485" s="108" t="s">
        <v>94</v>
      </c>
      <c r="B485" s="84" t="s">
        <v>205</v>
      </c>
      <c r="C485" s="84" t="s">
        <v>114</v>
      </c>
      <c r="D485" s="29" t="s">
        <v>130</v>
      </c>
      <c r="E485" s="29" t="s">
        <v>159</v>
      </c>
      <c r="F485" s="28" t="s">
        <v>158</v>
      </c>
      <c r="G485" s="69" t="s">
        <v>158</v>
      </c>
      <c r="H485" s="121">
        <f>11682.9-1027+3521.6+993</f>
        <v>15170.5</v>
      </c>
      <c r="I485" s="30"/>
    </row>
    <row r="486" spans="1:9" ht="15.75">
      <c r="A486" s="234" t="s">
        <v>239</v>
      </c>
      <c r="B486" s="67" t="s">
        <v>205</v>
      </c>
      <c r="C486" s="67" t="s">
        <v>114</v>
      </c>
      <c r="D486" s="63" t="s">
        <v>130</v>
      </c>
      <c r="E486" s="63" t="s">
        <v>240</v>
      </c>
      <c r="F486" s="43"/>
      <c r="G486" s="87"/>
      <c r="H486" s="272">
        <f>H487</f>
        <v>50</v>
      </c>
      <c r="I486" s="68"/>
    </row>
    <row r="487" spans="1:9" ht="15.75">
      <c r="A487" s="108" t="s">
        <v>94</v>
      </c>
      <c r="B487" s="84" t="s">
        <v>205</v>
      </c>
      <c r="C487" s="84" t="s">
        <v>114</v>
      </c>
      <c r="D487" s="29" t="s">
        <v>130</v>
      </c>
      <c r="E487" s="29" t="s">
        <v>240</v>
      </c>
      <c r="F487" s="28"/>
      <c r="G487" s="69" t="s">
        <v>158</v>
      </c>
      <c r="H487" s="121">
        <v>50</v>
      </c>
      <c r="I487" s="30"/>
    </row>
    <row r="488" spans="1:9" ht="15.75">
      <c r="A488" s="53" t="s">
        <v>52</v>
      </c>
      <c r="B488" s="85" t="s">
        <v>205</v>
      </c>
      <c r="C488" s="85" t="s">
        <v>114</v>
      </c>
      <c r="D488" s="33" t="s">
        <v>195</v>
      </c>
      <c r="E488" s="33"/>
      <c r="F488" s="32"/>
      <c r="G488" s="86"/>
      <c r="H488" s="164">
        <f>H489</f>
        <v>2497.5999999999995</v>
      </c>
      <c r="I488" s="34"/>
    </row>
    <row r="489" spans="1:9" ht="15.75">
      <c r="A489" s="108" t="s">
        <v>83</v>
      </c>
      <c r="B489" s="84" t="s">
        <v>205</v>
      </c>
      <c r="C489" s="84" t="s">
        <v>114</v>
      </c>
      <c r="D489" s="29" t="s">
        <v>195</v>
      </c>
      <c r="E489" s="29" t="s">
        <v>84</v>
      </c>
      <c r="F489" s="28"/>
      <c r="G489" s="58"/>
      <c r="H489" s="121">
        <f>H490</f>
        <v>2497.5999999999995</v>
      </c>
      <c r="I489" s="30"/>
    </row>
    <row r="490" spans="1:9" ht="43.5">
      <c r="A490" s="110" t="s">
        <v>218</v>
      </c>
      <c r="B490" s="84" t="s">
        <v>205</v>
      </c>
      <c r="C490" s="84" t="s">
        <v>114</v>
      </c>
      <c r="D490" s="29" t="s">
        <v>195</v>
      </c>
      <c r="E490" s="29" t="s">
        <v>136</v>
      </c>
      <c r="F490" s="28"/>
      <c r="G490" s="58"/>
      <c r="H490" s="121">
        <f>H491</f>
        <v>2497.5999999999995</v>
      </c>
      <c r="I490" s="30"/>
    </row>
    <row r="491" spans="1:9" ht="16.5" thickBot="1">
      <c r="A491" s="108" t="s">
        <v>94</v>
      </c>
      <c r="B491" s="84" t="s">
        <v>205</v>
      </c>
      <c r="C491" s="84" t="s">
        <v>114</v>
      </c>
      <c r="D491" s="29" t="s">
        <v>195</v>
      </c>
      <c r="E491" s="29" t="s">
        <v>136</v>
      </c>
      <c r="F491" s="28"/>
      <c r="G491" s="56" t="s">
        <v>158</v>
      </c>
      <c r="H491" s="121">
        <f>5111.8+1067.1-4514.6+833.3</f>
        <v>2497.5999999999995</v>
      </c>
      <c r="I491" s="30"/>
    </row>
    <row r="492" spans="1:9" ht="36.75" thickBot="1">
      <c r="A492" s="231" t="s">
        <v>220</v>
      </c>
      <c r="B492" s="80" t="s">
        <v>206</v>
      </c>
      <c r="C492" s="80"/>
      <c r="D492" s="22"/>
      <c r="E492" s="22"/>
      <c r="F492" s="20"/>
      <c r="G492" s="81"/>
      <c r="H492" s="119">
        <f>H493+H507+H516+H511</f>
        <v>61368</v>
      </c>
      <c r="I492" s="23">
        <f>I493+I507+I516</f>
        <v>10050.4</v>
      </c>
    </row>
    <row r="493" spans="1:9" s="3" customFormat="1" ht="15.75">
      <c r="A493" s="15" t="s">
        <v>13</v>
      </c>
      <c r="B493" s="82" t="s">
        <v>206</v>
      </c>
      <c r="C493" s="95" t="s">
        <v>114</v>
      </c>
      <c r="D493" s="26"/>
      <c r="E493" s="33"/>
      <c r="F493" s="36"/>
      <c r="G493" s="101"/>
      <c r="H493" s="27">
        <f>H494</f>
        <v>25442.2</v>
      </c>
      <c r="I493" s="27">
        <f>I494</f>
        <v>0</v>
      </c>
    </row>
    <row r="494" spans="1:9" ht="15.75">
      <c r="A494" s="15" t="s">
        <v>52</v>
      </c>
      <c r="B494" s="82" t="s">
        <v>206</v>
      </c>
      <c r="C494" s="82" t="s">
        <v>114</v>
      </c>
      <c r="D494" s="59" t="s">
        <v>195</v>
      </c>
      <c r="E494" s="33"/>
      <c r="F494" s="36"/>
      <c r="G494" s="93"/>
      <c r="H494" s="61">
        <f>H495+H500+H503</f>
        <v>25442.2</v>
      </c>
      <c r="I494" s="61">
        <f>I495+I500</f>
        <v>0</v>
      </c>
    </row>
    <row r="495" spans="1:9" ht="43.5">
      <c r="A495" s="110" t="s">
        <v>161</v>
      </c>
      <c r="B495" s="91" t="s">
        <v>206</v>
      </c>
      <c r="C495" s="84" t="s">
        <v>114</v>
      </c>
      <c r="D495" s="29" t="s">
        <v>195</v>
      </c>
      <c r="E495" s="29" t="s">
        <v>157</v>
      </c>
      <c r="F495" s="28"/>
      <c r="G495" s="69"/>
      <c r="H495" s="30">
        <f>H496+H498</f>
        <v>21084.5</v>
      </c>
      <c r="I495" s="30">
        <f>I496</f>
        <v>0</v>
      </c>
    </row>
    <row r="496" spans="1:9" ht="15.75">
      <c r="A496" s="108" t="s">
        <v>37</v>
      </c>
      <c r="B496" s="91" t="s">
        <v>206</v>
      </c>
      <c r="C496" s="89" t="s">
        <v>114</v>
      </c>
      <c r="D496" s="38" t="s">
        <v>195</v>
      </c>
      <c r="E496" s="38" t="s">
        <v>159</v>
      </c>
      <c r="F496" s="37"/>
      <c r="G496" s="69"/>
      <c r="H496" s="39">
        <f>H497</f>
        <v>21034.5</v>
      </c>
      <c r="I496" s="118"/>
    </row>
    <row r="497" spans="1:9" ht="15.75">
      <c r="A497" s="112" t="s">
        <v>94</v>
      </c>
      <c r="B497" s="91" t="s">
        <v>206</v>
      </c>
      <c r="C497" s="89" t="s">
        <v>114</v>
      </c>
      <c r="D497" s="38" t="s">
        <v>195</v>
      </c>
      <c r="E497" s="38" t="s">
        <v>159</v>
      </c>
      <c r="F497" s="37"/>
      <c r="G497" s="102" t="s">
        <v>158</v>
      </c>
      <c r="H497" s="39">
        <f>16008-745+4197+1267.5+307</f>
        <v>21034.5</v>
      </c>
      <c r="I497" s="118"/>
    </row>
    <row r="498" spans="1:9" ht="15.75">
      <c r="A498" s="184" t="s">
        <v>239</v>
      </c>
      <c r="B498" s="91" t="s">
        <v>206</v>
      </c>
      <c r="C498" s="89" t="s">
        <v>114</v>
      </c>
      <c r="D498" s="38" t="s">
        <v>195</v>
      </c>
      <c r="E498" s="38" t="s">
        <v>240</v>
      </c>
      <c r="F498" s="37"/>
      <c r="G498" s="102"/>
      <c r="H498" s="39">
        <f>H499</f>
        <v>50</v>
      </c>
      <c r="I498" s="118"/>
    </row>
    <row r="499" spans="1:9" ht="15.75">
      <c r="A499" s="112" t="s">
        <v>94</v>
      </c>
      <c r="B499" s="91" t="s">
        <v>206</v>
      </c>
      <c r="C499" s="89" t="s">
        <v>114</v>
      </c>
      <c r="D499" s="38" t="s">
        <v>195</v>
      </c>
      <c r="E499" s="38" t="s">
        <v>240</v>
      </c>
      <c r="F499" s="37"/>
      <c r="G499" s="102" t="s">
        <v>158</v>
      </c>
      <c r="H499" s="39">
        <v>50</v>
      </c>
      <c r="I499" s="118"/>
    </row>
    <row r="500" spans="1:9" ht="29.25">
      <c r="A500" s="110" t="s">
        <v>129</v>
      </c>
      <c r="B500" s="91" t="s">
        <v>206</v>
      </c>
      <c r="C500" s="84" t="s">
        <v>114</v>
      </c>
      <c r="D500" s="29" t="s">
        <v>195</v>
      </c>
      <c r="E500" s="29" t="s">
        <v>87</v>
      </c>
      <c r="F500" s="28"/>
      <c r="G500" s="69"/>
      <c r="H500" s="30">
        <f>H501</f>
        <v>1800</v>
      </c>
      <c r="I500" s="30">
        <f>I501</f>
        <v>0</v>
      </c>
    </row>
    <row r="501" spans="1:9" ht="15.75">
      <c r="A501" s="109" t="s">
        <v>49</v>
      </c>
      <c r="B501" s="91" t="s">
        <v>206</v>
      </c>
      <c r="C501" s="84" t="s">
        <v>114</v>
      </c>
      <c r="D501" s="29" t="s">
        <v>195</v>
      </c>
      <c r="E501" s="29" t="s">
        <v>128</v>
      </c>
      <c r="F501" s="28"/>
      <c r="G501" s="69"/>
      <c r="H501" s="30">
        <f>H502</f>
        <v>1800</v>
      </c>
      <c r="I501" s="30">
        <f>I502</f>
        <v>0</v>
      </c>
    </row>
    <row r="502" spans="1:9" ht="15.75">
      <c r="A502" s="108" t="s">
        <v>94</v>
      </c>
      <c r="B502" s="91" t="s">
        <v>206</v>
      </c>
      <c r="C502" s="89" t="s">
        <v>114</v>
      </c>
      <c r="D502" s="38" t="s">
        <v>195</v>
      </c>
      <c r="E502" s="38" t="s">
        <v>128</v>
      </c>
      <c r="F502" s="37" t="s">
        <v>36</v>
      </c>
      <c r="G502" s="69" t="s">
        <v>158</v>
      </c>
      <c r="H502" s="30">
        <f>500+700+600</f>
        <v>1800</v>
      </c>
      <c r="I502" s="47"/>
    </row>
    <row r="503" spans="1:9" ht="15.75">
      <c r="A503" s="108" t="s">
        <v>83</v>
      </c>
      <c r="B503" s="84" t="s">
        <v>206</v>
      </c>
      <c r="C503" s="84" t="s">
        <v>114</v>
      </c>
      <c r="D503" s="29" t="s">
        <v>195</v>
      </c>
      <c r="E503" s="29" t="s">
        <v>84</v>
      </c>
      <c r="F503" s="28"/>
      <c r="G503" s="69"/>
      <c r="H503" s="30">
        <f>H504</f>
        <v>2557.7</v>
      </c>
      <c r="I503" s="47"/>
    </row>
    <row r="504" spans="1:9" ht="43.5">
      <c r="A504" s="110" t="s">
        <v>218</v>
      </c>
      <c r="B504" s="84" t="s">
        <v>206</v>
      </c>
      <c r="C504" s="84" t="s">
        <v>114</v>
      </c>
      <c r="D504" s="29" t="s">
        <v>195</v>
      </c>
      <c r="E504" s="29" t="s">
        <v>136</v>
      </c>
      <c r="F504" s="28"/>
      <c r="G504" s="69"/>
      <c r="H504" s="30">
        <f>H505</f>
        <v>2557.7</v>
      </c>
      <c r="I504" s="47"/>
    </row>
    <row r="505" spans="1:9" ht="15.75">
      <c r="A505" s="108" t="s">
        <v>94</v>
      </c>
      <c r="B505" s="84" t="s">
        <v>206</v>
      </c>
      <c r="C505" s="84" t="s">
        <v>114</v>
      </c>
      <c r="D505" s="29" t="s">
        <v>195</v>
      </c>
      <c r="E505" s="63" t="s">
        <v>136</v>
      </c>
      <c r="F505" s="28"/>
      <c r="G505" s="56" t="s">
        <v>158</v>
      </c>
      <c r="H505" s="30">
        <f>5635+1293.5-4197-1267.5+1093.7</f>
        <v>2557.7</v>
      </c>
      <c r="I505" s="47"/>
    </row>
    <row r="506" spans="1:9" ht="15.75">
      <c r="A506" s="53" t="s">
        <v>42</v>
      </c>
      <c r="B506" s="85" t="s">
        <v>206</v>
      </c>
      <c r="C506" s="82" t="s">
        <v>116</v>
      </c>
      <c r="D506" s="59"/>
      <c r="E506" s="33"/>
      <c r="F506" s="32"/>
      <c r="G506" s="124"/>
      <c r="H506" s="34">
        <f>H507</f>
        <v>1621</v>
      </c>
      <c r="I506" s="35"/>
    </row>
    <row r="507" spans="1:9" ht="15.75">
      <c r="A507" s="15" t="s">
        <v>43</v>
      </c>
      <c r="B507" s="85" t="s">
        <v>206</v>
      </c>
      <c r="C507" s="82" t="s">
        <v>116</v>
      </c>
      <c r="D507" s="59" t="s">
        <v>117</v>
      </c>
      <c r="E507" s="33"/>
      <c r="F507" s="32"/>
      <c r="G507" s="94"/>
      <c r="H507" s="34">
        <f>H508</f>
        <v>1621</v>
      </c>
      <c r="I507" s="35"/>
    </row>
    <row r="508" spans="1:9" ht="31.5" customHeight="1">
      <c r="A508" s="110" t="s">
        <v>72</v>
      </c>
      <c r="B508" s="84" t="s">
        <v>206</v>
      </c>
      <c r="C508" s="91" t="s">
        <v>116</v>
      </c>
      <c r="D508" s="29" t="s">
        <v>117</v>
      </c>
      <c r="E508" s="29" t="s">
        <v>48</v>
      </c>
      <c r="F508" s="28"/>
      <c r="G508" s="69"/>
      <c r="H508" s="30">
        <f>H509</f>
        <v>1621</v>
      </c>
      <c r="I508" s="47"/>
    </row>
    <row r="509" spans="1:9" ht="15.75">
      <c r="A509" s="111" t="s">
        <v>181</v>
      </c>
      <c r="B509" s="84" t="s">
        <v>206</v>
      </c>
      <c r="C509" s="91" t="s">
        <v>116</v>
      </c>
      <c r="D509" s="38" t="s">
        <v>117</v>
      </c>
      <c r="E509" s="38" t="s">
        <v>182</v>
      </c>
      <c r="F509" s="37"/>
      <c r="G509" s="69"/>
      <c r="H509" s="30">
        <f>H510</f>
        <v>1621</v>
      </c>
      <c r="I509" s="47"/>
    </row>
    <row r="510" spans="1:9" ht="15.75">
      <c r="A510" s="108" t="s">
        <v>94</v>
      </c>
      <c r="B510" s="84" t="s">
        <v>206</v>
      </c>
      <c r="C510" s="84" t="s">
        <v>116</v>
      </c>
      <c r="D510" s="29" t="s">
        <v>117</v>
      </c>
      <c r="E510" s="29" t="s">
        <v>182</v>
      </c>
      <c r="F510" s="28"/>
      <c r="G510" s="56" t="s">
        <v>158</v>
      </c>
      <c r="H510" s="30">
        <f>621+1000</f>
        <v>1621</v>
      </c>
      <c r="I510" s="47"/>
    </row>
    <row r="511" spans="1:9" ht="15.75">
      <c r="A511" s="53" t="s">
        <v>16</v>
      </c>
      <c r="B511" s="96" t="s">
        <v>206</v>
      </c>
      <c r="C511" s="64" t="s">
        <v>127</v>
      </c>
      <c r="D511" s="96"/>
      <c r="E511" s="64"/>
      <c r="F511" s="28"/>
      <c r="G511" s="157"/>
      <c r="H511" s="30">
        <f>H512</f>
        <v>1000</v>
      </c>
      <c r="I511" s="47"/>
    </row>
    <row r="512" spans="1:9" ht="15.75">
      <c r="A512" s="53" t="s">
        <v>45</v>
      </c>
      <c r="B512" s="85" t="s">
        <v>206</v>
      </c>
      <c r="C512" s="33" t="s">
        <v>127</v>
      </c>
      <c r="D512" s="85" t="s">
        <v>114</v>
      </c>
      <c r="E512" s="33"/>
      <c r="F512" s="28"/>
      <c r="G512" s="157"/>
      <c r="H512" s="30">
        <f>H513</f>
        <v>1000</v>
      </c>
      <c r="I512" s="47"/>
    </row>
    <row r="513" spans="1:9" ht="15.75">
      <c r="A513" s="260" t="s">
        <v>304</v>
      </c>
      <c r="B513" s="29" t="s">
        <v>206</v>
      </c>
      <c r="C513" s="28" t="s">
        <v>127</v>
      </c>
      <c r="D513" s="29" t="s">
        <v>114</v>
      </c>
      <c r="E513" s="28" t="s">
        <v>303</v>
      </c>
      <c r="F513" s="28" t="s">
        <v>36</v>
      </c>
      <c r="G513" s="58"/>
      <c r="H513" s="30">
        <f>H514</f>
        <v>1000</v>
      </c>
      <c r="I513" s="47"/>
    </row>
    <row r="514" spans="1:9" ht="15.75">
      <c r="A514" s="260" t="s">
        <v>305</v>
      </c>
      <c r="B514" s="29" t="s">
        <v>206</v>
      </c>
      <c r="C514" s="28" t="s">
        <v>127</v>
      </c>
      <c r="D514" s="29" t="s">
        <v>114</v>
      </c>
      <c r="E514" s="28" t="s">
        <v>306</v>
      </c>
      <c r="F514" s="28" t="s">
        <v>36</v>
      </c>
      <c r="G514" s="132"/>
      <c r="H514" s="30">
        <f>H515</f>
        <v>1000</v>
      </c>
      <c r="I514" s="47"/>
    </row>
    <row r="515" spans="1:9" ht="15.75">
      <c r="A515" s="360" t="s">
        <v>94</v>
      </c>
      <c r="B515" s="29" t="s">
        <v>206</v>
      </c>
      <c r="C515" s="28" t="s">
        <v>127</v>
      </c>
      <c r="D515" s="29" t="s">
        <v>114</v>
      </c>
      <c r="E515" s="28" t="s">
        <v>306</v>
      </c>
      <c r="F515" s="28" t="s">
        <v>158</v>
      </c>
      <c r="G515" s="58" t="s">
        <v>158</v>
      </c>
      <c r="H515" s="30">
        <v>1000</v>
      </c>
      <c r="I515" s="47"/>
    </row>
    <row r="516" spans="1:9" ht="15.75">
      <c r="A516" s="15" t="s">
        <v>3</v>
      </c>
      <c r="B516" s="361" t="s">
        <v>206</v>
      </c>
      <c r="C516" s="82" t="s">
        <v>121</v>
      </c>
      <c r="D516" s="63"/>
      <c r="E516" s="49"/>
      <c r="F516" s="48"/>
      <c r="G516" s="158"/>
      <c r="H516" s="61">
        <f>H517+H536</f>
        <v>33304.8</v>
      </c>
      <c r="I516" s="61">
        <f>I517+I536</f>
        <v>10050.4</v>
      </c>
    </row>
    <row r="517" spans="1:9" ht="15.75">
      <c r="A517" s="108" t="s">
        <v>64</v>
      </c>
      <c r="B517" s="33" t="s">
        <v>206</v>
      </c>
      <c r="C517" s="32" t="s">
        <v>121</v>
      </c>
      <c r="D517" s="33" t="s">
        <v>119</v>
      </c>
      <c r="E517" s="131"/>
      <c r="F517" s="28"/>
      <c r="G517" s="69"/>
      <c r="H517" s="30">
        <f>H534+H518+H524+H532</f>
        <v>29929.800000000003</v>
      </c>
      <c r="I517" s="30">
        <f>I534+I518+I524+I532</f>
        <v>6675.4</v>
      </c>
    </row>
    <row r="518" spans="1:9" ht="15.75">
      <c r="A518" s="108" t="s">
        <v>392</v>
      </c>
      <c r="B518" s="29" t="s">
        <v>206</v>
      </c>
      <c r="C518" s="28" t="s">
        <v>121</v>
      </c>
      <c r="D518" s="29" t="s">
        <v>119</v>
      </c>
      <c r="E518" s="75" t="s">
        <v>394</v>
      </c>
      <c r="F518" s="76"/>
      <c r="G518" s="69"/>
      <c r="H518" s="30">
        <f>H519</f>
        <v>16038</v>
      </c>
      <c r="I518" s="30">
        <f>I519</f>
        <v>1026</v>
      </c>
    </row>
    <row r="519" spans="1:9" ht="15.75">
      <c r="A519" s="110" t="s">
        <v>393</v>
      </c>
      <c r="B519" s="29" t="s">
        <v>206</v>
      </c>
      <c r="C519" s="28" t="s">
        <v>121</v>
      </c>
      <c r="D519" s="29" t="s">
        <v>119</v>
      </c>
      <c r="E519" s="75" t="s">
        <v>395</v>
      </c>
      <c r="F519" s="76"/>
      <c r="G519" s="69"/>
      <c r="H519" s="30">
        <f>H520+H522</f>
        <v>16038</v>
      </c>
      <c r="I519" s="30">
        <f>I520+I522</f>
        <v>1026</v>
      </c>
    </row>
    <row r="520" spans="1:9" ht="29.25">
      <c r="A520" s="110" t="s">
        <v>466</v>
      </c>
      <c r="B520" s="29" t="s">
        <v>206</v>
      </c>
      <c r="C520" s="28" t="s">
        <v>121</v>
      </c>
      <c r="D520" s="29" t="s">
        <v>119</v>
      </c>
      <c r="E520" s="75" t="s">
        <v>396</v>
      </c>
      <c r="F520" s="76"/>
      <c r="G520" s="69"/>
      <c r="H520" s="30">
        <f>H521</f>
        <v>15012</v>
      </c>
      <c r="I520" s="47"/>
    </row>
    <row r="521" spans="1:9" ht="15.75">
      <c r="A521" s="108" t="s">
        <v>433</v>
      </c>
      <c r="B521" s="29" t="s">
        <v>206</v>
      </c>
      <c r="C521" s="28" t="s">
        <v>121</v>
      </c>
      <c r="D521" s="29" t="s">
        <v>119</v>
      </c>
      <c r="E521" s="75" t="s">
        <v>396</v>
      </c>
      <c r="F521" s="76"/>
      <c r="G521" s="69" t="s">
        <v>432</v>
      </c>
      <c r="H521" s="30">
        <f>15012</f>
        <v>15012</v>
      </c>
      <c r="I521" s="47"/>
    </row>
    <row r="522" spans="1:9" ht="15.75">
      <c r="A522" s="108" t="s">
        <v>467</v>
      </c>
      <c r="B522" s="29" t="s">
        <v>206</v>
      </c>
      <c r="C522" s="28" t="s">
        <v>121</v>
      </c>
      <c r="D522" s="29" t="s">
        <v>119</v>
      </c>
      <c r="E522" s="28" t="s">
        <v>465</v>
      </c>
      <c r="F522" s="28"/>
      <c r="G522" s="69"/>
      <c r="H522" s="30">
        <f>H523</f>
        <v>1026</v>
      </c>
      <c r="I522" s="30">
        <f>I523</f>
        <v>1026</v>
      </c>
    </row>
    <row r="523" spans="1:9" ht="15.75">
      <c r="A523" s="108" t="s">
        <v>433</v>
      </c>
      <c r="B523" s="29" t="s">
        <v>206</v>
      </c>
      <c r="C523" s="28" t="s">
        <v>121</v>
      </c>
      <c r="D523" s="29" t="s">
        <v>119</v>
      </c>
      <c r="E523" s="28" t="s">
        <v>465</v>
      </c>
      <c r="F523" s="28"/>
      <c r="G523" s="69" t="s">
        <v>432</v>
      </c>
      <c r="H523" s="30">
        <v>1026</v>
      </c>
      <c r="I523" s="30">
        <v>1026</v>
      </c>
    </row>
    <row r="524" spans="1:9" ht="15.75">
      <c r="A524" s="110" t="s">
        <v>147</v>
      </c>
      <c r="B524" s="29" t="s">
        <v>206</v>
      </c>
      <c r="C524" s="28" t="s">
        <v>121</v>
      </c>
      <c r="D524" s="29" t="s">
        <v>119</v>
      </c>
      <c r="E524" s="28" t="s">
        <v>58</v>
      </c>
      <c r="F524" s="28"/>
      <c r="G524" s="69"/>
      <c r="H524" s="30">
        <f>H525</f>
        <v>9740.6</v>
      </c>
      <c r="I524" s="30">
        <f>I525</f>
        <v>4063.5</v>
      </c>
    </row>
    <row r="525" spans="1:9" ht="129">
      <c r="A525" s="315" t="s">
        <v>397</v>
      </c>
      <c r="B525" s="29" t="s">
        <v>206</v>
      </c>
      <c r="C525" s="28" t="s">
        <v>121</v>
      </c>
      <c r="D525" s="29" t="s">
        <v>119</v>
      </c>
      <c r="E525" s="28" t="s">
        <v>398</v>
      </c>
      <c r="F525" s="28" t="s">
        <v>36</v>
      </c>
      <c r="G525" s="69"/>
      <c r="H525" s="30">
        <f>H528+H526</f>
        <v>9740.6</v>
      </c>
      <c r="I525" s="30">
        <f>I528+I526</f>
        <v>4063.5</v>
      </c>
    </row>
    <row r="526" spans="1:9" ht="72" customHeight="1">
      <c r="A526" s="315" t="s">
        <v>457</v>
      </c>
      <c r="B526" s="29" t="s">
        <v>206</v>
      </c>
      <c r="C526" s="28" t="s">
        <v>121</v>
      </c>
      <c r="D526" s="29" t="s">
        <v>119</v>
      </c>
      <c r="E526" s="28" t="s">
        <v>458</v>
      </c>
      <c r="F526" s="28" t="s">
        <v>36</v>
      </c>
      <c r="G526" s="69"/>
      <c r="H526" s="30">
        <f>H527</f>
        <v>1674</v>
      </c>
      <c r="I526" s="30">
        <f>I527</f>
        <v>1674</v>
      </c>
    </row>
    <row r="527" spans="1:9" ht="15.75">
      <c r="A527" s="108" t="s">
        <v>433</v>
      </c>
      <c r="B527" s="29" t="s">
        <v>206</v>
      </c>
      <c r="C527" s="28" t="s">
        <v>121</v>
      </c>
      <c r="D527" s="29" t="s">
        <v>119</v>
      </c>
      <c r="E527" s="28" t="s">
        <v>458</v>
      </c>
      <c r="F527" s="28" t="s">
        <v>38</v>
      </c>
      <c r="G527" s="69" t="s">
        <v>432</v>
      </c>
      <c r="H527" s="30">
        <v>1674</v>
      </c>
      <c r="I527" s="30">
        <v>1674</v>
      </c>
    </row>
    <row r="528" spans="1:9" ht="57.75">
      <c r="A528" s="110" t="s">
        <v>399</v>
      </c>
      <c r="B528" s="29" t="s">
        <v>206</v>
      </c>
      <c r="C528" s="28" t="s">
        <v>121</v>
      </c>
      <c r="D528" s="29" t="s">
        <v>119</v>
      </c>
      <c r="E528" s="28" t="s">
        <v>400</v>
      </c>
      <c r="F528" s="28" t="s">
        <v>36</v>
      </c>
      <c r="G528" s="69"/>
      <c r="H528" s="30">
        <f>H529</f>
        <v>8066.6</v>
      </c>
      <c r="I528" s="30">
        <f>I529</f>
        <v>2389.5</v>
      </c>
    </row>
    <row r="529" spans="1:9" ht="15.75">
      <c r="A529" s="108" t="s">
        <v>433</v>
      </c>
      <c r="B529" s="29" t="s">
        <v>206</v>
      </c>
      <c r="C529" s="28" t="s">
        <v>121</v>
      </c>
      <c r="D529" s="29" t="s">
        <v>119</v>
      </c>
      <c r="E529" s="28" t="s">
        <v>400</v>
      </c>
      <c r="F529" s="28" t="s">
        <v>38</v>
      </c>
      <c r="G529" s="69" t="s">
        <v>432</v>
      </c>
      <c r="H529" s="30">
        <f>3092.4+2584.7+2389.5</f>
        <v>8066.6</v>
      </c>
      <c r="I529" s="47">
        <v>2389.5</v>
      </c>
    </row>
    <row r="530" spans="1:9" ht="29.25">
      <c r="A530" s="110" t="s">
        <v>283</v>
      </c>
      <c r="B530" s="29" t="s">
        <v>206</v>
      </c>
      <c r="C530" s="28" t="s">
        <v>121</v>
      </c>
      <c r="D530" s="29" t="s">
        <v>119</v>
      </c>
      <c r="E530" s="28" t="s">
        <v>282</v>
      </c>
      <c r="F530" s="28"/>
      <c r="G530" s="69"/>
      <c r="H530" s="30">
        <f>H531</f>
        <v>1585.9</v>
      </c>
      <c r="I530" s="30">
        <f>I531</f>
        <v>1585.9</v>
      </c>
    </row>
    <row r="531" spans="1:9" ht="15.75">
      <c r="A531" s="108" t="s">
        <v>464</v>
      </c>
      <c r="B531" s="29" t="s">
        <v>206</v>
      </c>
      <c r="C531" s="28" t="s">
        <v>121</v>
      </c>
      <c r="D531" s="29" t="s">
        <v>119</v>
      </c>
      <c r="E531" s="28" t="s">
        <v>463</v>
      </c>
      <c r="F531" s="28"/>
      <c r="G531" s="69"/>
      <c r="H531" s="30">
        <f>H532</f>
        <v>1585.9</v>
      </c>
      <c r="I531" s="30">
        <f>I532</f>
        <v>1585.9</v>
      </c>
    </row>
    <row r="532" spans="1:9" ht="15.75">
      <c r="A532" s="108" t="s">
        <v>433</v>
      </c>
      <c r="B532" s="29" t="s">
        <v>206</v>
      </c>
      <c r="C532" s="28" t="s">
        <v>121</v>
      </c>
      <c r="D532" s="29" t="s">
        <v>119</v>
      </c>
      <c r="E532" s="28" t="s">
        <v>463</v>
      </c>
      <c r="F532" s="28"/>
      <c r="G532" s="69" t="s">
        <v>432</v>
      </c>
      <c r="H532" s="30">
        <v>1585.9</v>
      </c>
      <c r="I532" s="47">
        <v>1585.9</v>
      </c>
    </row>
    <row r="533" spans="1:9" ht="15.75">
      <c r="A533" s="108" t="s">
        <v>83</v>
      </c>
      <c r="B533" s="29" t="s">
        <v>206</v>
      </c>
      <c r="C533" s="28" t="s">
        <v>121</v>
      </c>
      <c r="D533" s="29" t="s">
        <v>119</v>
      </c>
      <c r="E533" s="131" t="s">
        <v>84</v>
      </c>
      <c r="F533" s="28"/>
      <c r="G533" s="69"/>
      <c r="H533" s="30">
        <f>H534</f>
        <v>2565.3</v>
      </c>
      <c r="I533" s="47"/>
    </row>
    <row r="534" spans="1:9" ht="29.25">
      <c r="A534" s="110" t="s">
        <v>262</v>
      </c>
      <c r="B534" s="29" t="s">
        <v>206</v>
      </c>
      <c r="C534" s="28" t="s">
        <v>121</v>
      </c>
      <c r="D534" s="29" t="s">
        <v>119</v>
      </c>
      <c r="E534" s="131" t="s">
        <v>269</v>
      </c>
      <c r="F534" s="28"/>
      <c r="G534" s="57"/>
      <c r="H534" s="30">
        <f>H535</f>
        <v>2565.3</v>
      </c>
      <c r="I534" s="47"/>
    </row>
    <row r="535" spans="1:9" ht="15.75">
      <c r="A535" s="108" t="s">
        <v>94</v>
      </c>
      <c r="B535" s="84" t="s">
        <v>206</v>
      </c>
      <c r="C535" s="84" t="s">
        <v>121</v>
      </c>
      <c r="D535" s="29" t="s">
        <v>119</v>
      </c>
      <c r="E535" s="29" t="s">
        <v>269</v>
      </c>
      <c r="F535" s="28"/>
      <c r="G535" s="56" t="s">
        <v>158</v>
      </c>
      <c r="H535" s="30">
        <f>827+1738.3</f>
        <v>2565.3</v>
      </c>
      <c r="I535" s="47"/>
    </row>
    <row r="536" spans="1:9" ht="15.75">
      <c r="A536" s="108" t="s">
        <v>169</v>
      </c>
      <c r="B536" s="84" t="s">
        <v>206</v>
      </c>
      <c r="C536" s="84" t="s">
        <v>121</v>
      </c>
      <c r="D536" s="29" t="s">
        <v>116</v>
      </c>
      <c r="E536" s="29"/>
      <c r="F536" s="28"/>
      <c r="G536" s="56"/>
      <c r="H536" s="30">
        <f aca="true" t="shared" si="15" ref="H536:I538">H537</f>
        <v>3375</v>
      </c>
      <c r="I536" s="30">
        <f t="shared" si="15"/>
        <v>3375</v>
      </c>
    </row>
    <row r="537" spans="1:9" ht="43.5">
      <c r="A537" s="110" t="s">
        <v>462</v>
      </c>
      <c r="B537" s="84" t="s">
        <v>206</v>
      </c>
      <c r="C537" s="84" t="s">
        <v>121</v>
      </c>
      <c r="D537" s="29" t="s">
        <v>116</v>
      </c>
      <c r="E537" s="29" t="s">
        <v>460</v>
      </c>
      <c r="F537" s="28"/>
      <c r="G537" s="56"/>
      <c r="H537" s="30">
        <f t="shared" si="15"/>
        <v>3375</v>
      </c>
      <c r="I537" s="30">
        <f t="shared" si="15"/>
        <v>3375</v>
      </c>
    </row>
    <row r="538" spans="1:9" ht="57.75">
      <c r="A538" s="110" t="s">
        <v>459</v>
      </c>
      <c r="B538" s="84" t="s">
        <v>206</v>
      </c>
      <c r="C538" s="84" t="s">
        <v>121</v>
      </c>
      <c r="D538" s="29" t="s">
        <v>116</v>
      </c>
      <c r="E538" s="29" t="s">
        <v>461</v>
      </c>
      <c r="F538" s="28"/>
      <c r="G538" s="56"/>
      <c r="H538" s="30">
        <f t="shared" si="15"/>
        <v>3375</v>
      </c>
      <c r="I538" s="30">
        <f t="shared" si="15"/>
        <v>3375</v>
      </c>
    </row>
    <row r="539" spans="1:9" ht="16.5" thickBot="1">
      <c r="A539" s="111" t="s">
        <v>131</v>
      </c>
      <c r="B539" s="91" t="s">
        <v>206</v>
      </c>
      <c r="C539" s="91" t="s">
        <v>121</v>
      </c>
      <c r="D539" s="49" t="s">
        <v>116</v>
      </c>
      <c r="E539" s="49" t="s">
        <v>461</v>
      </c>
      <c r="F539" s="43"/>
      <c r="G539" s="158" t="s">
        <v>429</v>
      </c>
      <c r="H539" s="68">
        <v>3375</v>
      </c>
      <c r="I539" s="68">
        <v>3375</v>
      </c>
    </row>
    <row r="540" spans="1:9" ht="36.75" thickBot="1">
      <c r="A540" s="231" t="s">
        <v>443</v>
      </c>
      <c r="B540" s="80" t="s">
        <v>441</v>
      </c>
      <c r="C540" s="326"/>
      <c r="D540" s="327"/>
      <c r="E540" s="327"/>
      <c r="F540" s="52"/>
      <c r="G540" s="328"/>
      <c r="H540" s="23">
        <f>H541</f>
        <v>1500</v>
      </c>
      <c r="I540" s="329"/>
    </row>
    <row r="541" spans="1:9" ht="15.75">
      <c r="A541" s="15" t="s">
        <v>13</v>
      </c>
      <c r="B541" s="26" t="s">
        <v>441</v>
      </c>
      <c r="C541" s="82" t="s">
        <v>114</v>
      </c>
      <c r="D541" s="59"/>
      <c r="E541" s="33"/>
      <c r="F541" s="36"/>
      <c r="G541" s="93"/>
      <c r="H541" s="331">
        <f>H542+H545</f>
        <v>1500</v>
      </c>
      <c r="I541" s="330"/>
    </row>
    <row r="542" spans="1:9" ht="45">
      <c r="A542" s="71" t="s">
        <v>183</v>
      </c>
      <c r="B542" s="33" t="s">
        <v>441</v>
      </c>
      <c r="C542" s="85" t="s">
        <v>114</v>
      </c>
      <c r="D542" s="33" t="s">
        <v>130</v>
      </c>
      <c r="E542" s="33"/>
      <c r="F542" s="32"/>
      <c r="G542" s="86"/>
      <c r="H542" s="30">
        <f>H543</f>
        <v>1500</v>
      </c>
      <c r="I542" s="47"/>
    </row>
    <row r="543" spans="1:9" ht="15.75">
      <c r="A543" s="108" t="s">
        <v>37</v>
      </c>
      <c r="B543" s="29" t="s">
        <v>441</v>
      </c>
      <c r="C543" s="84" t="s">
        <v>114</v>
      </c>
      <c r="D543" s="29" t="s">
        <v>130</v>
      </c>
      <c r="E543" s="29" t="s">
        <v>159</v>
      </c>
      <c r="F543" s="28"/>
      <c r="G543" s="69"/>
      <c r="H543" s="30">
        <f>H544</f>
        <v>1500</v>
      </c>
      <c r="I543" s="47"/>
    </row>
    <row r="544" spans="1:9" ht="16.5" thickBot="1">
      <c r="A544" s="108" t="s">
        <v>94</v>
      </c>
      <c r="B544" s="84" t="s">
        <v>441</v>
      </c>
      <c r="C544" s="84" t="s">
        <v>114</v>
      </c>
      <c r="D544" s="29" t="s">
        <v>130</v>
      </c>
      <c r="E544" s="29" t="s">
        <v>159</v>
      </c>
      <c r="F544" s="28" t="s">
        <v>158</v>
      </c>
      <c r="G544" s="69" t="s">
        <v>158</v>
      </c>
      <c r="H544" s="30">
        <v>1500</v>
      </c>
      <c r="I544" s="47"/>
    </row>
    <row r="545" spans="1:9" ht="16.5" hidden="1" thickBot="1">
      <c r="A545" s="53" t="s">
        <v>52</v>
      </c>
      <c r="B545" s="85" t="s">
        <v>441</v>
      </c>
      <c r="C545" s="85" t="s">
        <v>114</v>
      </c>
      <c r="D545" s="33" t="s">
        <v>195</v>
      </c>
      <c r="E545" s="33"/>
      <c r="F545" s="32"/>
      <c r="G545" s="86"/>
      <c r="H545" s="30">
        <f>H546</f>
        <v>0</v>
      </c>
      <c r="I545" s="47"/>
    </row>
    <row r="546" spans="1:9" ht="16.5" hidden="1" thickBot="1">
      <c r="A546" s="108" t="s">
        <v>83</v>
      </c>
      <c r="B546" s="84" t="s">
        <v>441</v>
      </c>
      <c r="C546" s="84" t="s">
        <v>114</v>
      </c>
      <c r="D546" s="29" t="s">
        <v>195</v>
      </c>
      <c r="E546" s="29" t="s">
        <v>84</v>
      </c>
      <c r="F546" s="28"/>
      <c r="G546" s="69"/>
      <c r="H546" s="30">
        <f>H547</f>
        <v>0</v>
      </c>
      <c r="I546" s="47"/>
    </row>
    <row r="547" spans="1:9" ht="44.25" hidden="1" thickBot="1">
      <c r="A547" s="110" t="s">
        <v>218</v>
      </c>
      <c r="B547" s="84" t="s">
        <v>441</v>
      </c>
      <c r="C547" s="84" t="s">
        <v>114</v>
      </c>
      <c r="D547" s="29" t="s">
        <v>195</v>
      </c>
      <c r="E547" s="29" t="s">
        <v>136</v>
      </c>
      <c r="F547" s="28"/>
      <c r="G547" s="69"/>
      <c r="H547" s="30">
        <f>H548</f>
        <v>0</v>
      </c>
      <c r="I547" s="47"/>
    </row>
    <row r="548" spans="1:9" ht="16.5" hidden="1" thickBot="1">
      <c r="A548" s="109" t="s">
        <v>94</v>
      </c>
      <c r="B548" s="89" t="s">
        <v>441</v>
      </c>
      <c r="C548" s="89" t="s">
        <v>114</v>
      </c>
      <c r="D548" s="38" t="s">
        <v>195</v>
      </c>
      <c r="E548" s="38" t="s">
        <v>136</v>
      </c>
      <c r="F548" s="37"/>
      <c r="G548" s="157" t="s">
        <v>158</v>
      </c>
      <c r="H548" s="39"/>
      <c r="I548" s="118"/>
    </row>
    <row r="549" spans="1:9" ht="44.25" customHeight="1" thickBot="1">
      <c r="A549" s="353" t="s">
        <v>46</v>
      </c>
      <c r="B549" s="160" t="s">
        <v>36</v>
      </c>
      <c r="C549" s="354" t="s">
        <v>35</v>
      </c>
      <c r="D549" s="355" t="s">
        <v>80</v>
      </c>
      <c r="E549" s="356" t="s">
        <v>34</v>
      </c>
      <c r="F549" s="354"/>
      <c r="G549" s="357" t="s">
        <v>36</v>
      </c>
      <c r="H549" s="160">
        <f>H11+H250+H348+H450+H492+H481+H436+H540</f>
        <v>3263930.8000000003</v>
      </c>
      <c r="I549" s="160">
        <f>I11+I250+I348+I450+I492+I481+I436+I540</f>
        <v>1811828.5</v>
      </c>
    </row>
    <row r="553" ht="15.75">
      <c r="F553" s="17" t="s">
        <v>36</v>
      </c>
    </row>
    <row r="554" ht="15" customHeight="1">
      <c r="F554" s="17" t="s">
        <v>36</v>
      </c>
    </row>
    <row r="555" ht="15.75">
      <c r="F555" s="17" t="s">
        <v>36</v>
      </c>
    </row>
    <row r="556" ht="15.75">
      <c r="F556" s="17" t="s">
        <v>38</v>
      </c>
    </row>
    <row r="557" ht="15.75">
      <c r="F557" s="235"/>
    </row>
    <row r="558" ht="15.75">
      <c r="F558" s="235"/>
    </row>
  </sheetData>
  <sheetProtection/>
  <mergeCells count="9">
    <mergeCell ref="C9:C10"/>
    <mergeCell ref="D9:D10"/>
    <mergeCell ref="E9:E10"/>
    <mergeCell ref="A7:I7"/>
    <mergeCell ref="H9:H10"/>
    <mergeCell ref="I9:I10"/>
    <mergeCell ref="A9:A10"/>
    <mergeCell ref="G9:G10"/>
    <mergeCell ref="B9:B10"/>
  </mergeCells>
  <printOptions horizontalCentered="1"/>
  <pageMargins left="0.2362204724409449" right="0.18" top="0.35433070866141736" bottom="0.2755905511811024" header="0.6299212598425197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2012-08-16T12:43:27Z</cp:lastPrinted>
  <dcterms:created xsi:type="dcterms:W3CDTF">2002-11-11T07:39:40Z</dcterms:created>
  <dcterms:modified xsi:type="dcterms:W3CDTF">2012-08-23T05:50:03Z</dcterms:modified>
  <cp:category/>
  <cp:version/>
  <cp:contentType/>
  <cp:contentStatus/>
</cp:coreProperties>
</file>