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9320" windowHeight="12990" activeTab="1"/>
  </bookViews>
  <sheets>
    <sheet name="Прилож №3" sheetId="1" r:id="rId1"/>
    <sheet name="Прилож №5" sheetId="2" r:id="rId2"/>
  </sheets>
  <definedNames>
    <definedName name="_xlnm.Print_Area" localSheetId="1">'Прилож №5'!$A$1:$I$472</definedName>
  </definedNames>
  <calcPr fullCalcOnLoad="1"/>
</workbook>
</file>

<file path=xl/sharedStrings.xml><?xml version="1.0" encoding="utf-8"?>
<sst xmlns="http://schemas.openxmlformats.org/spreadsheetml/2006/main" count="4640" uniqueCount="445">
  <si>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</si>
  <si>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Наименование</t>
  </si>
  <si>
    <t>027</t>
  </si>
  <si>
    <t>029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</si>
  <si>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</si>
  <si>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</si>
  <si>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</si>
  <si>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</si>
  <si>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</si>
  <si>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</si>
  <si>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</si>
  <si>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</si>
  <si>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</si>
  <si>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</si>
  <si>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</si>
  <si>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</si>
  <si>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</si>
  <si>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</si>
  <si>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</si>
  <si>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</si>
  <si>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</si>
  <si>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</si>
  <si>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</si>
  <si>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</si>
  <si>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</si>
  <si>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</si>
  <si>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</si>
  <si>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</si>
  <si>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</si>
  <si>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</si>
  <si>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</si>
  <si>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</si>
  <si>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</si>
  <si>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</si>
  <si>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</si>
  <si>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</si>
  <si>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</si>
  <si>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</si>
  <si>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</si>
  <si>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</si>
  <si>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</si>
  <si>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</si>
  <si>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</si>
  <si>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</si>
  <si>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</si>
  <si>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</si>
  <si>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</si>
  <si>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</si>
  <si>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</si>
  <si>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</si>
  <si>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</si>
  <si>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</si>
  <si>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</si>
  <si>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</si>
  <si>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</si>
  <si>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214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</si>
  <si>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</si>
  <si>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</si>
  <si>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</si>
  <si>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</si>
  <si>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</si>
  <si>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</si>
  <si>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</si>
  <si>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</si>
  <si>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</si>
  <si>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</si>
  <si>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</si>
  <si>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</si>
  <si>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</si>
  <si>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</si>
  <si>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</si>
  <si>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</si>
  <si>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</si>
  <si>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</si>
  <si>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</si>
  <si>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</si>
  <si>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</si>
  <si>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</si>
  <si>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</si>
  <si>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</si>
  <si>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</si>
  <si>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</si>
  <si>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</si>
  <si>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</si>
  <si>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</si>
  <si>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</si>
  <si>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</si>
  <si>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</si>
  <si>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</si>
  <si>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</si>
  <si>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</si>
  <si>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</si>
  <si>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</si>
  <si>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</si>
  <si>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</si>
  <si>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</si>
  <si>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</si>
  <si>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</si>
  <si>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</si>
  <si>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</si>
  <si>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</si>
  <si>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</si>
  <si>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</si>
  <si>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</si>
  <si>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</si>
  <si>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</si>
  <si>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</si>
  <si>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</si>
  <si>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</si>
  <si>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</si>
  <si>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</si>
  <si>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</si>
  <si>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</si>
  <si>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</si>
  <si>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</si>
  <si>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</si>
  <si>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</si>
  <si>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</si>
  <si>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</si>
  <si>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</si>
  <si>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</si>
  <si>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</si>
  <si>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</si>
  <si>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</si>
  <si>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</si>
  <si>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</si>
  <si>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</si>
  <si>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</si>
  <si>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</si>
  <si>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</si>
  <si>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</si>
  <si>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</si>
  <si>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</si>
  <si>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</si>
  <si>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</si>
  <si>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</si>
  <si>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</si>
  <si>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</si>
  <si>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</si>
  <si>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</si>
  <si>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</si>
  <si>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</si>
  <si>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</si>
  <si>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</si>
  <si>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</si>
  <si>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</si>
  <si>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</si>
  <si>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</si>
  <si>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</si>
  <si>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</si>
  <si>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</si>
  <si>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</si>
  <si>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</si>
  <si>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</si>
  <si>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</si>
  <si>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</si>
  <si>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</si>
  <si>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</si>
  <si>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</si>
  <si>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</si>
  <si>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</si>
  <si>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</si>
  <si>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</si>
  <si>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</si>
  <si>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</si>
  <si>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</si>
  <si>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</si>
  <si>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</si>
  <si>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</si>
  <si>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</si>
  <si>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</si>
  <si>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</si>
  <si>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</si>
  <si>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</si>
  <si>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</si>
  <si>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 xml:space="preserve">Оздоровление детей 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</si>
  <si>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</si>
  <si>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</si>
  <si>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</si>
  <si>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</si>
  <si>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</si>
  <si>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</si>
  <si>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</si>
  <si>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470 99 00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</si>
  <si>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</si>
  <si>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</si>
  <si>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</si>
  <si>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</si>
  <si>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</si>
  <si>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</si>
  <si>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</si>
  <si>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</si>
  <si>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</si>
  <si>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Оздоровление детей</t>
  </si>
  <si>
    <t>795 06 00</t>
  </si>
  <si>
    <t>Выполнение функций  органами местного самоуправления</t>
  </si>
  <si>
    <t>795 07 00</t>
  </si>
  <si>
    <t>795 08 00</t>
  </si>
  <si>
    <t xml:space="preserve">к решению Совета депутатов </t>
  </si>
  <si>
    <t>(тыс. руб.)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</si>
  <si>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</si>
  <si>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</si>
  <si>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</si>
  <si>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</si>
  <si>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</si>
  <si>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</si>
  <si>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</si>
  <si>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</si>
  <si>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795 12 00</t>
  </si>
  <si>
    <t>795 13 00</t>
  </si>
  <si>
    <t>600 00 00</t>
  </si>
  <si>
    <t>795 16 00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</si>
  <si>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</si>
  <si>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</si>
  <si>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</si>
  <si>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</si>
  <si>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</si>
  <si>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</si>
  <si>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</si>
  <si>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</si>
  <si>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</si>
  <si>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</si>
  <si>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</si>
  <si>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</si>
  <si>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</si>
  <si>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</si>
  <si>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</si>
  <si>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</si>
  <si>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</si>
  <si>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</si>
  <si>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</si>
  <si>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</si>
  <si>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</si>
  <si>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</si>
  <si>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</si>
  <si>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</si>
  <si>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</si>
  <si>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</si>
  <si>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</si>
  <si>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</si>
  <si>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Мероприятия по землеустройству и землепользованию</t>
  </si>
  <si>
    <t>340 03 00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</si>
  <si>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</si>
  <si>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</si>
  <si>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</si>
  <si>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Обеспечение деятельности финансовых, налоговых и таможенных органов и органов финансового(финансово-бюджетного) надзора</t>
  </si>
  <si>
    <t>Финансовое управление администрации                         г. Долгопрудного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</si>
  <si>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</si>
  <si>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</si>
  <si>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</si>
  <si>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Субсидии юридическим лицам</t>
  </si>
  <si>
    <t>Муниципальное учреждение "Комитет по культуре, физической культуре, спорту, туризму, и делам молодежи"</t>
  </si>
  <si>
    <t>Ежемесячное денежное вознаграждение за классное руководство</t>
  </si>
  <si>
    <t>520 09 00</t>
  </si>
  <si>
    <t>Внедрение современных образовательных технологий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</si>
  <si>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</si>
  <si>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</si>
  <si>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гг."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</si>
  <si>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</si>
  <si>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</si>
  <si>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Долгосрочная целевая программа "Обеспечение жильем  молодых семей в г. Долгопрудный на 2009-2012 гг."</t>
  </si>
  <si>
    <t>Подраздел</t>
  </si>
  <si>
    <t>Целевая статья</t>
  </si>
  <si>
    <t xml:space="preserve">Вид 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</si>
  <si>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</si>
  <si>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</si>
  <si>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</si>
  <si>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</si>
  <si>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Другие вопросы в области здравоохранения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</si>
  <si>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</si>
  <si>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</si>
  <si>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</si>
  <si>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</si>
  <si>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</si>
  <si>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</si>
  <si>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</si>
  <si>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</si>
  <si>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</si>
  <si>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</si>
  <si>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</si>
  <si>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</si>
  <si>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Ведомственная структура расходов  бюджета городского округа Долгопрудный  на   2011 год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</si>
  <si>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</si>
  <si>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</si>
  <si>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795 15 00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</si>
  <si>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</si>
  <si>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</si>
  <si>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</si>
  <si>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795 11 00</t>
  </si>
  <si>
    <t>795 02 00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</si>
  <si>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</si>
  <si>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</si>
  <si>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795 17 00</t>
  </si>
  <si>
    <t>795 10 00</t>
  </si>
  <si>
    <t>Муниципальная целевая программа "Экологическая программа города Долгопрудного на 2008-2011 годы"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</si>
  <si>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</si>
  <si>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</si>
  <si>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</si>
  <si>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795 05 00</t>
  </si>
  <si>
    <t>795 14 00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</si>
  <si>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</si>
  <si>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Муниципальная целевая программа "Модернизация системы здравоохранения городского округа Долгопрудного на период 2010-2011 гг"</t>
  </si>
  <si>
    <t>795 18 00</t>
  </si>
  <si>
    <t>Долгосрочная городская  целевая программа "Развитие муниципальной службы в городе Долгопрудном на период 2011-2013 годов"</t>
  </si>
  <si>
    <t xml:space="preserve">795 16 00 </t>
  </si>
  <si>
    <t>Расходы бюджета городского округа Долгопрудный  на 2011  г. по разделам, подразделам, целевым статьям</t>
  </si>
  <si>
    <t xml:space="preserve"> и видам расходов  бюджета</t>
  </si>
  <si>
    <t xml:space="preserve"> Комитет по управлению имуществом                  г. Долгопрудный</t>
  </si>
  <si>
    <t>Муниципальная   программа "Развитие физической культуры и спорта в     г. Долгопрудном на  2009-2011 годы"</t>
  </si>
  <si>
    <t>Долгосрочная целевая программа "Обеспечение жильем молодых семей в       г. Долгопрудный на 2009-2012 годы"</t>
  </si>
  <si>
    <t>Муниципальная   программа "Развитие физической культуры и спорта в     г. Долгопрудном   на  2009-2011 годы"</t>
  </si>
  <si>
    <t>Мероприятия по проведению оздоровительной кампании детей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</si>
  <si>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</si>
  <si>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092 99 00</t>
  </si>
  <si>
    <t>Комплектование книжных фондов библиотек муниципальных образований</t>
  </si>
  <si>
    <t>Муниципальная комплексная программа "Дети Долгопрудного " на 2011-2012 годы"</t>
  </si>
  <si>
    <t xml:space="preserve">Управление внутренних дел  Мытищинского муниципального района Московской области  </t>
  </si>
  <si>
    <t>Совет депутатов города Долгопрудного Московской области</t>
  </si>
  <si>
    <t>Администрация города Долгопрудного</t>
  </si>
  <si>
    <t xml:space="preserve">           Управление образования Администрации г.Долгопрудного</t>
  </si>
  <si>
    <t>Муниципальное учреждение здравоохранения  "Центральная городская больница г.Долгопрудного"</t>
  </si>
  <si>
    <t>440 02 00</t>
  </si>
  <si>
    <t>Комплектование книжных фондов библиотек городских округов</t>
  </si>
  <si>
    <t>440 02 01</t>
  </si>
  <si>
    <t>Культура и кинематография</t>
  </si>
  <si>
    <t>421 50 00</t>
  </si>
  <si>
    <t>Субсидии негосударственным школам-детским садам, школам начальным, неполным средним и средним</t>
  </si>
  <si>
    <t>098 00 00</t>
  </si>
  <si>
    <t>098 02 00</t>
  </si>
  <si>
    <t>098 02 01</t>
  </si>
  <si>
    <t>Обеспечение мероприятий по капитальному ремонту многоквартирных домов</t>
  </si>
  <si>
    <t>202 72 00</t>
  </si>
  <si>
    <t>202 72 03</t>
  </si>
  <si>
    <t xml:space="preserve">202 72 03 </t>
  </si>
  <si>
    <t>Компенсация стоимости вещевого имущества</t>
  </si>
  <si>
    <t>Вещевое обеспечение</t>
  </si>
  <si>
    <t>600 02 00</t>
  </si>
  <si>
    <t>436 03 00</t>
  </si>
  <si>
    <t>Обеспечение мероприятий по капитальному ремонту многоквартирных домов за счет средств бюджетов</t>
  </si>
  <si>
    <t>351 00 00</t>
  </si>
  <si>
    <t>351 05 00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</si>
  <si>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</si>
  <si>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</si>
  <si>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</si>
  <si>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Приложение № 3</t>
  </si>
  <si>
    <t>(Приложение № 3</t>
  </si>
  <si>
    <t>от 17.12.2010г. № 75-нр</t>
  </si>
  <si>
    <t>Приложение № 5</t>
  </si>
  <si>
    <t>(Приложение № 5</t>
  </si>
  <si>
    <t>от 17.12.2010г. № 75-нр)</t>
  </si>
  <si>
    <t>432 04 00</t>
  </si>
  <si>
    <t>Другие вопросы в области культуры</t>
  </si>
  <si>
    <t>514 01 00</t>
  </si>
  <si>
    <t>Мероприятия в области социальной политики</t>
  </si>
  <si>
    <t>Муниципальная целевая программа "Социальная поддержка населения    г. Долгопрудного на 2010 -2011годы"</t>
  </si>
  <si>
    <t>Муниципальная целевая программа "Социальная поддержка населения     г. Долгопрудного на 2010-2011 годы"</t>
  </si>
  <si>
    <t>Муниципальная целевая программа "Социальная поддержка населения     г. Долгопрудного на 2010 -2011годы"</t>
  </si>
  <si>
    <r>
      <t xml:space="preserve"> Муниципальная программа " Развитие физической культуры и спорта в г.Долгопрудном на 2009-2011 годы"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</si>
  <si>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>795 19 00</t>
  </si>
  <si>
    <t>522 09 14</t>
  </si>
  <si>
    <t>Реализация мероприятий муниципальных 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в 2011 году</t>
  </si>
  <si>
    <t>522 13 00</t>
  </si>
  <si>
    <t>522 00 00</t>
  </si>
  <si>
    <t>Региональные целевые программы</t>
  </si>
  <si>
    <t>Судебная система</t>
  </si>
  <si>
    <t xml:space="preserve">Руководство и управление в сфере установленных функций </t>
  </si>
  <si>
    <t>001 00 00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</si>
  <si>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</si>
  <si>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</si>
  <si>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431 02 00</t>
  </si>
  <si>
    <t>Организация и осуществление мероприятий по работе с детьми и молодежью в муниципальных образованиях Московской области</t>
  </si>
  <si>
    <t>522 10 00</t>
  </si>
  <si>
    <t>Долгосрочная целевая программа Московской области "Развитие образования в Московской области на 2009-2012 год"</t>
  </si>
  <si>
    <t>522 15 00</t>
  </si>
  <si>
    <t>Долгосрочная целевая программа Московской области "Жилище" на 2009-2012 годы"</t>
  </si>
  <si>
    <t>522 15 97</t>
  </si>
  <si>
    <t>100 00 00</t>
  </si>
  <si>
    <t>Федеральные целевые программы</t>
  </si>
  <si>
    <t>100 88 00</t>
  </si>
  <si>
    <t>Федеральная целевая программа "Жилище" на 2011-2015 годы</t>
  </si>
  <si>
    <t>Муниципальная целевая программа в области энергосбережения и повышения энергетической эффективности в городе Долгопрудном на 2010-2020 годы</t>
  </si>
  <si>
    <t>Капитальные вложения в объекты общественной инфраструктуры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</si>
  <si>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</si>
  <si>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505 34 00</t>
  </si>
  <si>
    <t>505 34 01</t>
  </si>
  <si>
    <t>505 34 02</t>
  </si>
  <si>
    <r>
      <t>Муниципальная целевая программа "Модернизация системы здравоохранения городского округа Долгопрудного на период 2010-2011 гг. "</t>
    </r>
    <r>
      <rPr>
        <b/>
        <sz val="11"/>
        <rFont val="Arial"/>
        <family val="2"/>
      </rPr>
      <t>Строительство  хирургического корпуса на 230 коек с пищеблоком, ЦСО, клинико-диагностической лабораторией на весь комплекс МУЗ "ДЦГБ" , расположенного по адресу : Московская область, г.Долгопрудный, ул.Павлова, дом 2</t>
    </r>
  </si>
  <si>
    <t>Долгосрочная городская  целевая программа "Развитие муниципальной службы в городе Долгопрудном на период 2011-2013 гг."</t>
  </si>
  <si>
    <t>Муниципальная целевая программа "Модернизация системы здравоохранения городского округа Долгопрудного на период 2010-2011 гг."</t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</si>
  <si>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</si>
  <si>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</si>
  <si>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 xml:space="preserve">098 01 01 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</si>
  <si>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</si>
  <si>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</si>
  <si>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</si>
  <si>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440 12 00</t>
  </si>
  <si>
    <t>100 88 11</t>
  </si>
  <si>
    <t>Приобретение жилья гражданами, уволенными  с военной службы(службы),и приравненными к  ним лицам</t>
  </si>
  <si>
    <t>Приобретение компьютерного оборудования для библиотек городских округов</t>
  </si>
  <si>
    <t>442 20 01</t>
  </si>
  <si>
    <t>442 20 00</t>
  </si>
  <si>
    <t>522 10 97</t>
  </si>
  <si>
    <t>522 10 98</t>
  </si>
  <si>
    <t>440 12 01</t>
  </si>
  <si>
    <t>Учреждения культуры и мероприятия в сфере культуры и кинематографии</t>
  </si>
  <si>
    <t xml:space="preserve"> Проведение текущего, капитального ремонта и технического переоснащения культурно-досуговых объектов, находящихся в собственности городских округов МО,за счет средств бюджета МО</t>
  </si>
  <si>
    <t>Проведение капитального ремонта, ремонта ограждений, замена оконных конструкций,  выполнение противопожарных мероприятий  в муниципальных общеобразовательных учреждениях</t>
  </si>
  <si>
    <t xml:space="preserve"> Проведение капитального ремонта, ремонта ограждений, замена оконных конструкций,  выполнение противопожарных мероприятий  в муниципальных общеобразовательных учреждениях</t>
  </si>
  <si>
    <t xml:space="preserve">522 09 00 </t>
  </si>
  <si>
    <t>Долгосрочная целевая программа Московской области "Предупреждение и борьба  с заболеваниями социального характера в Московской области на 2009-2012 годы"</t>
  </si>
  <si>
    <t>Подпрограмма "Модернизация здравоохранения Московской области на 2011-2012 годы</t>
  </si>
  <si>
    <t>Приобретение компьютерного оборудования для муниципальных библиотек</t>
  </si>
  <si>
    <t xml:space="preserve"> Приобретение компьютерного оборудования для муниципальных библиотек</t>
  </si>
  <si>
    <t>Проведение текущего, капитального ремонта и технического переоснащения культурно-досуговых объектов, находящихся в собственности городских округов МО,за счет средств бюджета МО</t>
  </si>
  <si>
    <t>505 36 00</t>
  </si>
  <si>
    <t>420 99 22</t>
  </si>
  <si>
    <t>Повышение фонда оплаты труда работников муниципальных учреждений в сфере образования (детские дошкольные учреждения) с 1 октября 2011 года на 6,5%</t>
  </si>
  <si>
    <t>Повышение фонда оплаты труда работников муниципальных учреждений в сфере образования (учреждения по внешкольной работе с детьми) с 1 октября 2011 года на 6,5%</t>
  </si>
  <si>
    <t>423 99 22</t>
  </si>
  <si>
    <t>Повышение фонда оплаты труда работников муниципальных учреждений в сфере культуры с 1 октября 2011 года на 6,5%</t>
  </si>
  <si>
    <t>440 99 22</t>
  </si>
  <si>
    <t>Повышение фонда оплаты труда работников муниципальных учреждений в сфере культуры (библиотеки) с 1 октября 2011 года на 6,5%</t>
  </si>
  <si>
    <t>441 99 22</t>
  </si>
  <si>
    <t>Повышение фонда оплаты труда работников муниципальных учреждений в сфере культуры (музеи и постоянные выставки) с 1 октября 2011 года на 6,5%</t>
  </si>
  <si>
    <t>443 99 22</t>
  </si>
  <si>
    <t>442 99 22</t>
  </si>
  <si>
    <t>Повышение фонда оплаты труда работников муниципальных учреждений в сфере физической культуры и спорта (центры спортивной подготовки (сборные команды)) с 1 октября 2011 года на 6,5%</t>
  </si>
  <si>
    <t>482 99 22</t>
  </si>
  <si>
    <t>Повышение фонда оплаты труда работников муниципальных учреждений в сфере здравоохранения  (учреждения по больницы, клиники, госпитали, медико-санитарные части) с 1 октября 2011 года на 6,5%</t>
  </si>
  <si>
    <t>470 99 22</t>
  </si>
  <si>
    <t>Повышение фонда оплаты труда работников муниципальных учреждений в сфере здравоохранения (поликлиники, амбулатории, диагностические центры) с 1 октября 2011 года на 6,5%</t>
  </si>
  <si>
    <t>471 99 22</t>
  </si>
  <si>
    <t>Повышение фонда оплаты труда работников муниципальных учреждений в сфере здравоохранения (станции скорой и неотложной помощи) с 1 октября 2011 года на 6,5%</t>
  </si>
  <si>
    <t>477 99 22</t>
  </si>
  <si>
    <t xml:space="preserve">09 </t>
  </si>
  <si>
    <t>436 21 00</t>
  </si>
  <si>
    <t>Модернизация региональных систем общего образования</t>
  </si>
  <si>
    <t>436 00 00</t>
  </si>
  <si>
    <t>Мероприятия в области образования</t>
  </si>
  <si>
    <t>Повышение фонда оплаты труда работников муниципальных учреждений в сфере культуры (театр, цирки, концертные и другие организации исполнительных искусств) с 1 октября 2011 года на 6,5%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</si>
  <si>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</si>
  <si>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дополнительными местами в муниципальных дошкольных образовательных учреждениях, в том числе на проведение текущего, капитального ремонта, ремонта ограждений, приобретение оборудования, мебели, мягкого инвентаря</t>
  </si>
  <si>
    <t>9025</t>
  </si>
  <si>
    <t>от 07.12. 2011 г №152-нр</t>
  </si>
  <si>
    <t>от 07.12. 2011 г. №152-нр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</si>
</sst>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</numFmts>
  <fonts count="19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3" fillId="0" borderId="2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49" fontId="13" fillId="0" borderId="3" xfId="0" applyNumberFormat="1" applyFont="1" applyBorder="1" applyAlignment="1">
      <alignment/>
    </xf>
    <xf numFmtId="49" fontId="17" fillId="0" borderId="4" xfId="0" applyNumberFormat="1" applyFont="1" applyBorder="1" applyAlignment="1">
      <alignment/>
    </xf>
    <xf numFmtId="49" fontId="13" fillId="0" borderId="5" xfId="0" applyNumberFormat="1" applyFont="1" applyBorder="1" applyAlignment="1">
      <alignment/>
    </xf>
    <xf numFmtId="164" fontId="13" fillId="0" borderId="5" xfId="0" applyNumberFormat="1" applyFont="1" applyBorder="1" applyAlignment="1">
      <alignment/>
    </xf>
    <xf numFmtId="0" fontId="13" fillId="0" borderId="6" xfId="0" applyFont="1" applyBorder="1" applyAlignment="1">
      <alignment wrapText="1"/>
    </xf>
    <xf numFmtId="49" fontId="13" fillId="0" borderId="7" xfId="0" applyNumberFormat="1" applyFont="1" applyBorder="1" applyAlignment="1">
      <alignment/>
    </xf>
    <xf numFmtId="49" fontId="13" fillId="0" borderId="8" xfId="0" applyNumberFormat="1" applyFont="1" applyBorder="1" applyAlignment="1">
      <alignment/>
    </xf>
    <xf numFmtId="164" fontId="13" fillId="0" borderId="8" xfId="0" applyNumberFormat="1" applyFont="1" applyBorder="1" applyAlignment="1">
      <alignment/>
    </xf>
    <xf numFmtId="49" fontId="17" fillId="0" borderId="9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49" fontId="13" fillId="0" borderId="9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164" fontId="17" fillId="0" borderId="13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5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49" fontId="13" fillId="0" borderId="16" xfId="0" applyNumberFormat="1" applyFont="1" applyBorder="1" applyAlignment="1">
      <alignment/>
    </xf>
    <xf numFmtId="0" fontId="13" fillId="0" borderId="8" xfId="0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3" fillId="0" borderId="3" xfId="0" applyNumberFormat="1" applyFont="1" applyBorder="1" applyAlignment="1">
      <alignment wrapText="1"/>
    </xf>
    <xf numFmtId="49" fontId="13" fillId="0" borderId="5" xfId="0" applyNumberFormat="1" applyFont="1" applyBorder="1" applyAlignment="1">
      <alignment wrapText="1"/>
    </xf>
    <xf numFmtId="49" fontId="17" fillId="0" borderId="3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 wrapText="1"/>
    </xf>
    <xf numFmtId="0" fontId="17" fillId="0" borderId="10" xfId="0" applyFont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6" xfId="0" applyNumberFormat="1" applyFont="1" applyBorder="1" applyAlignment="1">
      <alignment/>
    </xf>
    <xf numFmtId="164" fontId="17" fillId="0" borderId="6" xfId="0" applyNumberFormat="1" applyFont="1" applyBorder="1" applyAlignment="1">
      <alignment/>
    </xf>
    <xf numFmtId="0" fontId="13" fillId="0" borderId="17" xfId="0" applyFont="1" applyBorder="1" applyAlignment="1">
      <alignment/>
    </xf>
    <xf numFmtId="49" fontId="17" fillId="0" borderId="3" xfId="0" applyNumberFormat="1" applyFont="1" applyBorder="1" applyAlignment="1">
      <alignment/>
    </xf>
    <xf numFmtId="0" fontId="13" fillId="0" borderId="18" xfId="0" applyFont="1" applyBorder="1" applyAlignment="1">
      <alignment/>
    </xf>
    <xf numFmtId="49" fontId="17" fillId="0" borderId="19" xfId="0" applyNumberFormat="1" applyFont="1" applyBorder="1" applyAlignment="1">
      <alignment/>
    </xf>
    <xf numFmtId="0" fontId="13" fillId="0" borderId="20" xfId="0" applyFont="1" applyBorder="1" applyAlignment="1">
      <alignment/>
    </xf>
    <xf numFmtId="49" fontId="17" fillId="0" borderId="9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/>
    </xf>
    <xf numFmtId="0" fontId="13" fillId="0" borderId="11" xfId="0" applyFont="1" applyBorder="1" applyAlignment="1">
      <alignment/>
    </xf>
    <xf numFmtId="164" fontId="13" fillId="0" borderId="6" xfId="0" applyNumberFormat="1" applyFont="1" applyBorder="1" applyAlignment="1">
      <alignment/>
    </xf>
    <xf numFmtId="0" fontId="17" fillId="0" borderId="11" xfId="0" applyFont="1" applyBorder="1" applyAlignment="1">
      <alignment/>
    </xf>
    <xf numFmtId="49" fontId="17" fillId="0" borderId="21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164" fontId="17" fillId="2" borderId="10" xfId="0" applyNumberFormat="1" applyFont="1" applyFill="1" applyBorder="1" applyAlignment="1">
      <alignment/>
    </xf>
    <xf numFmtId="49" fontId="17" fillId="0" borderId="22" xfId="0" applyNumberFormat="1" applyFont="1" applyBorder="1" applyAlignment="1">
      <alignment/>
    </xf>
    <xf numFmtId="164" fontId="17" fillId="0" borderId="21" xfId="0" applyNumberFormat="1" applyFont="1" applyBorder="1" applyAlignment="1">
      <alignment/>
    </xf>
    <xf numFmtId="49" fontId="17" fillId="0" borderId="18" xfId="0" applyNumberFormat="1" applyFont="1" applyBorder="1" applyAlignment="1">
      <alignment horizontal="left"/>
    </xf>
    <xf numFmtId="0" fontId="13" fillId="0" borderId="5" xfId="0" applyFont="1" applyBorder="1" applyAlignment="1">
      <alignment/>
    </xf>
    <xf numFmtId="0" fontId="13" fillId="0" borderId="18" xfId="0" applyFont="1" applyBorder="1" applyAlignment="1">
      <alignment wrapText="1"/>
    </xf>
    <xf numFmtId="49" fontId="17" fillId="0" borderId="16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7" fillId="0" borderId="9" xfId="0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4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49" fontId="13" fillId="0" borderId="25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7" fillId="0" borderId="24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/>
    </xf>
    <xf numFmtId="49" fontId="17" fillId="0" borderId="27" xfId="0" applyNumberFormat="1" applyFont="1" applyBorder="1" applyAlignment="1">
      <alignment/>
    </xf>
    <xf numFmtId="49" fontId="17" fillId="0" borderId="28" xfId="0" applyNumberFormat="1" applyFont="1" applyBorder="1" applyAlignment="1">
      <alignment/>
    </xf>
    <xf numFmtId="49" fontId="17" fillId="0" borderId="29" xfId="0" applyNumberFormat="1" applyFont="1" applyBorder="1" applyAlignment="1">
      <alignment horizontal="left"/>
    </xf>
    <xf numFmtId="49" fontId="17" fillId="0" borderId="2" xfId="0" applyNumberFormat="1" applyFont="1" applyBorder="1" applyAlignment="1">
      <alignment/>
    </xf>
    <xf numFmtId="49" fontId="17" fillId="0" borderId="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49" fontId="13" fillId="0" borderId="26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/>
    </xf>
    <xf numFmtId="49" fontId="13" fillId="0" borderId="26" xfId="0" applyNumberFormat="1" applyFont="1" applyBorder="1" applyAlignment="1">
      <alignment/>
    </xf>
    <xf numFmtId="49" fontId="17" fillId="0" borderId="31" xfId="0" applyNumberFormat="1" applyFont="1" applyBorder="1" applyAlignment="1">
      <alignment/>
    </xf>
    <xf numFmtId="49" fontId="17" fillId="0" borderId="32" xfId="0" applyNumberFormat="1" applyFont="1" applyBorder="1" applyAlignment="1">
      <alignment/>
    </xf>
    <xf numFmtId="49" fontId="17" fillId="0" borderId="33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/>
    </xf>
    <xf numFmtId="49" fontId="17" fillId="0" borderId="35" xfId="0" applyNumberFormat="1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17" xfId="0" applyFont="1" applyBorder="1" applyAlignment="1">
      <alignment wrapText="1"/>
    </xf>
    <xf numFmtId="49" fontId="17" fillId="0" borderId="21" xfId="0" applyNumberFormat="1" applyFont="1" applyBorder="1" applyAlignment="1">
      <alignment horizontal="left"/>
    </xf>
    <xf numFmtId="49" fontId="13" fillId="0" borderId="8" xfId="0" applyNumberFormat="1" applyFont="1" applyBorder="1" applyAlignment="1">
      <alignment horizontal="left"/>
    </xf>
    <xf numFmtId="49" fontId="13" fillId="0" borderId="36" xfId="0" applyNumberFormat="1" applyFont="1" applyBorder="1" applyAlignment="1">
      <alignment/>
    </xf>
    <xf numFmtId="49" fontId="17" fillId="0" borderId="35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7" fillId="0" borderId="18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8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/>
    </xf>
    <xf numFmtId="0" fontId="17" fillId="0" borderId="19" xfId="0" applyNumberFormat="1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wrapText="1"/>
    </xf>
    <xf numFmtId="0" fontId="17" fillId="0" borderId="37" xfId="0" applyFont="1" applyBorder="1" applyAlignment="1">
      <alignment horizontal="left" vertical="top" wrapText="1"/>
    </xf>
    <xf numFmtId="0" fontId="17" fillId="0" borderId="37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7" fillId="0" borderId="2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9" xfId="0" applyFont="1" applyBorder="1" applyAlignment="1">
      <alignment wrapText="1" shrinkToFit="1"/>
    </xf>
    <xf numFmtId="0" fontId="17" fillId="0" borderId="3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4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/>
    </xf>
    <xf numFmtId="0" fontId="17" fillId="0" borderId="13" xfId="0" applyFont="1" applyBorder="1" applyAlignment="1">
      <alignment/>
    </xf>
    <xf numFmtId="164" fontId="13" fillId="0" borderId="17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18" fillId="0" borderId="0" xfId="0" applyFont="1" applyAlignment="1">
      <alignment/>
    </xf>
    <xf numFmtId="49" fontId="13" fillId="0" borderId="4" xfId="0" applyNumberFormat="1" applyFont="1" applyBorder="1" applyAlignment="1">
      <alignment/>
    </xf>
    <xf numFmtId="49" fontId="13" fillId="0" borderId="39" xfId="0" applyNumberFormat="1" applyFont="1" applyBorder="1" applyAlignment="1">
      <alignment horizontal="left"/>
    </xf>
    <xf numFmtId="164" fontId="13" fillId="0" borderId="36" xfId="0" applyNumberFormat="1" applyFont="1" applyBorder="1" applyAlignment="1">
      <alignment/>
    </xf>
    <xf numFmtId="49" fontId="13" fillId="0" borderId="37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164" fontId="13" fillId="0" borderId="13" xfId="0" applyNumberFormat="1" applyFont="1" applyBorder="1" applyAlignment="1">
      <alignment/>
    </xf>
    <xf numFmtId="49" fontId="13" fillId="0" borderId="23" xfId="0" applyNumberFormat="1" applyFont="1" applyBorder="1" applyAlignment="1">
      <alignment/>
    </xf>
    <xf numFmtId="49" fontId="13" fillId="0" borderId="40" xfId="0" applyNumberFormat="1" applyFont="1" applyBorder="1" applyAlignment="1">
      <alignment horizontal="left"/>
    </xf>
    <xf numFmtId="49" fontId="13" fillId="0" borderId="41" xfId="0" applyNumberFormat="1" applyFont="1" applyBorder="1" applyAlignment="1">
      <alignment horizontal="left"/>
    </xf>
    <xf numFmtId="0" fontId="17" fillId="0" borderId="21" xfId="0" applyFont="1" applyBorder="1" applyAlignment="1">
      <alignment/>
    </xf>
    <xf numFmtId="164" fontId="17" fillId="2" borderId="15" xfId="0" applyNumberFormat="1" applyFont="1" applyFill="1" applyBorder="1" applyAlignment="1">
      <alignment/>
    </xf>
    <xf numFmtId="0" fontId="16" fillId="0" borderId="5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6" xfId="0" applyFont="1" applyBorder="1" applyAlignment="1">
      <alignment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0" fontId="16" fillId="2" borderId="5" xfId="0" applyFont="1" applyFill="1" applyBorder="1" applyAlignment="1">
      <alignment horizontal="center" wrapText="1"/>
    </xf>
    <xf numFmtId="0" fontId="17" fillId="0" borderId="10" xfId="0" applyFont="1" applyBorder="1" applyAlignment="1">
      <alignment wrapText="1" shrinkToFit="1"/>
    </xf>
    <xf numFmtId="0" fontId="17" fillId="0" borderId="13" xfId="0" applyFont="1" applyBorder="1" applyAlignment="1">
      <alignment horizontal="left" vertical="top" wrapText="1"/>
    </xf>
    <xf numFmtId="0" fontId="13" fillId="0" borderId="5" xfId="0" applyFont="1" applyBorder="1" applyAlignment="1">
      <alignment wrapText="1"/>
    </xf>
    <xf numFmtId="49" fontId="14" fillId="0" borderId="1" xfId="0" applyNumberFormat="1" applyFont="1" applyBorder="1" applyAlignment="1">
      <alignment/>
    </xf>
    <xf numFmtId="49" fontId="17" fillId="0" borderId="42" xfId="0" applyNumberFormat="1" applyFont="1" applyBorder="1" applyAlignment="1">
      <alignment/>
    </xf>
    <xf numFmtId="49" fontId="13" fillId="0" borderId="3" xfId="0" applyNumberFormat="1" applyFont="1" applyBorder="1" applyAlignment="1">
      <alignment horizontal="left"/>
    </xf>
    <xf numFmtId="0" fontId="17" fillId="0" borderId="19" xfId="0" applyFont="1" applyBorder="1" applyAlignment="1">
      <alignment wrapText="1"/>
    </xf>
    <xf numFmtId="49" fontId="13" fillId="0" borderId="9" xfId="0" applyNumberFormat="1" applyFont="1" applyBorder="1" applyAlignment="1">
      <alignment horizontal="left"/>
    </xf>
    <xf numFmtId="0" fontId="17" fillId="2" borderId="26" xfId="0" applyFont="1" applyFill="1" applyBorder="1" applyAlignment="1">
      <alignment/>
    </xf>
    <xf numFmtId="164" fontId="13" fillId="0" borderId="29" xfId="0" applyNumberFormat="1" applyFont="1" applyBorder="1" applyAlignment="1">
      <alignment/>
    </xf>
    <xf numFmtId="164" fontId="17" fillId="0" borderId="24" xfId="0" applyNumberFormat="1" applyFont="1" applyBorder="1" applyAlignment="1">
      <alignment/>
    </xf>
    <xf numFmtId="0" fontId="17" fillId="0" borderId="8" xfId="0" applyFont="1" applyBorder="1" applyAlignment="1">
      <alignment wrapText="1"/>
    </xf>
    <xf numFmtId="164" fontId="13" fillId="0" borderId="30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49" fontId="17" fillId="0" borderId="6" xfId="0" applyNumberFormat="1" applyFont="1" applyBorder="1" applyAlignment="1">
      <alignment horizontal="left"/>
    </xf>
    <xf numFmtId="0" fontId="17" fillId="2" borderId="13" xfId="0" applyFont="1" applyFill="1" applyBorder="1" applyAlignment="1">
      <alignment/>
    </xf>
    <xf numFmtId="49" fontId="17" fillId="2" borderId="26" xfId="0" applyNumberFormat="1" applyFont="1" applyFill="1" applyBorder="1" applyAlignment="1">
      <alignment/>
    </xf>
    <xf numFmtId="49" fontId="17" fillId="2" borderId="13" xfId="0" applyNumberFormat="1" applyFont="1" applyFill="1" applyBorder="1" applyAlignment="1">
      <alignment/>
    </xf>
    <xf numFmtId="49" fontId="17" fillId="2" borderId="12" xfId="0" applyNumberFormat="1" applyFont="1" applyFill="1" applyBorder="1" applyAlignment="1">
      <alignment/>
    </xf>
    <xf numFmtId="49" fontId="17" fillId="2" borderId="10" xfId="0" applyNumberFormat="1" applyFont="1" applyFill="1" applyBorder="1" applyAlignment="1">
      <alignment/>
    </xf>
    <xf numFmtId="49" fontId="17" fillId="2" borderId="9" xfId="0" applyNumberFormat="1" applyFont="1" applyFill="1" applyBorder="1" applyAlignment="1">
      <alignment/>
    </xf>
    <xf numFmtId="49" fontId="17" fillId="2" borderId="2" xfId="0" applyNumberFormat="1" applyFont="1" applyFill="1" applyBorder="1" applyAlignment="1">
      <alignment horizontal="left"/>
    </xf>
    <xf numFmtId="0" fontId="17" fillId="2" borderId="10" xfId="0" applyFont="1" applyFill="1" applyBorder="1" applyAlignment="1">
      <alignment/>
    </xf>
    <xf numFmtId="49" fontId="17" fillId="2" borderId="18" xfId="0" applyNumberFormat="1" applyFont="1" applyFill="1" applyBorder="1" applyAlignment="1">
      <alignment/>
    </xf>
    <xf numFmtId="49" fontId="17" fillId="2" borderId="18" xfId="0" applyNumberFormat="1" applyFont="1" applyFill="1" applyBorder="1" applyAlignment="1">
      <alignment horizontal="left"/>
    </xf>
    <xf numFmtId="49" fontId="17" fillId="2" borderId="0" xfId="0" applyNumberFormat="1" applyFont="1" applyFill="1" applyBorder="1" applyAlignment="1">
      <alignment/>
    </xf>
    <xf numFmtId="164" fontId="17" fillId="2" borderId="13" xfId="0" applyNumberFormat="1" applyFont="1" applyFill="1" applyBorder="1" applyAlignment="1">
      <alignment/>
    </xf>
    <xf numFmtId="0" fontId="17" fillId="2" borderId="6" xfId="0" applyFont="1" applyFill="1" applyBorder="1" applyAlignment="1">
      <alignment/>
    </xf>
    <xf numFmtId="49" fontId="17" fillId="2" borderId="6" xfId="0" applyNumberFormat="1" applyFont="1" applyFill="1" applyBorder="1" applyAlignment="1">
      <alignment/>
    </xf>
    <xf numFmtId="49" fontId="17" fillId="2" borderId="10" xfId="0" applyNumberFormat="1" applyFont="1" applyFill="1" applyBorder="1" applyAlignment="1">
      <alignment horizontal="left"/>
    </xf>
    <xf numFmtId="0" fontId="17" fillId="2" borderId="6" xfId="0" applyFont="1" applyFill="1" applyBorder="1" applyAlignment="1">
      <alignment wrapText="1"/>
    </xf>
    <xf numFmtId="49" fontId="17" fillId="2" borderId="11" xfId="0" applyNumberFormat="1" applyFont="1" applyFill="1" applyBorder="1" applyAlignment="1">
      <alignment/>
    </xf>
    <xf numFmtId="49" fontId="17" fillId="2" borderId="23" xfId="0" applyNumberFormat="1" applyFont="1" applyFill="1" applyBorder="1" applyAlignment="1">
      <alignment/>
    </xf>
    <xf numFmtId="49" fontId="17" fillId="2" borderId="24" xfId="0" applyNumberFormat="1" applyFont="1" applyFill="1" applyBorder="1" applyAlignment="1">
      <alignment horizontal="left"/>
    </xf>
    <xf numFmtId="0" fontId="17" fillId="2" borderId="22" xfId="0" applyFont="1" applyFill="1" applyBorder="1" applyAlignment="1">
      <alignment/>
    </xf>
    <xf numFmtId="49" fontId="17" fillId="2" borderId="21" xfId="0" applyNumberFormat="1" applyFont="1" applyFill="1" applyBorder="1" applyAlignment="1">
      <alignment/>
    </xf>
    <xf numFmtId="164" fontId="17" fillId="2" borderId="21" xfId="0" applyNumberFormat="1" applyFont="1" applyFill="1" applyBorder="1" applyAlignment="1">
      <alignment/>
    </xf>
    <xf numFmtId="49" fontId="17" fillId="2" borderId="0" xfId="0" applyNumberFormat="1" applyFont="1" applyFill="1" applyBorder="1" applyAlignment="1">
      <alignment horizontal="left"/>
    </xf>
    <xf numFmtId="0" fontId="17" fillId="2" borderId="26" xfId="0" applyFont="1" applyFill="1" applyBorder="1" applyAlignment="1">
      <alignment wrapText="1"/>
    </xf>
    <xf numFmtId="164" fontId="17" fillId="0" borderId="8" xfId="0" applyNumberFormat="1" applyFont="1" applyBorder="1" applyAlignment="1">
      <alignment/>
    </xf>
    <xf numFmtId="164" fontId="17" fillId="2" borderId="16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49" fontId="17" fillId="2" borderId="9" xfId="0" applyNumberFormat="1" applyFont="1" applyFill="1" applyBorder="1" applyAlignment="1">
      <alignment horizontal="left"/>
    </xf>
    <xf numFmtId="0" fontId="17" fillId="2" borderId="13" xfId="0" applyFont="1" applyFill="1" applyBorder="1" applyAlignment="1">
      <alignment wrapText="1"/>
    </xf>
    <xf numFmtId="49" fontId="9" fillId="0" borderId="9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7" fillId="0" borderId="44" xfId="0" applyNumberFormat="1" applyFont="1" applyBorder="1" applyAlignment="1">
      <alignment horizontal="left"/>
    </xf>
    <xf numFmtId="49" fontId="17" fillId="0" borderId="43" xfId="0" applyNumberFormat="1" applyFont="1" applyBorder="1" applyAlignment="1">
      <alignment horizontal="left"/>
    </xf>
    <xf numFmtId="49" fontId="17" fillId="0" borderId="45" xfId="0" applyNumberFormat="1" applyFont="1" applyBorder="1" applyAlignment="1">
      <alignment horizontal="left"/>
    </xf>
    <xf numFmtId="49" fontId="17" fillId="2" borderId="15" xfId="0" applyNumberFormat="1" applyFont="1" applyFill="1" applyBorder="1" applyAlignment="1">
      <alignment/>
    </xf>
    <xf numFmtId="49" fontId="17" fillId="2" borderId="11" xfId="0" applyNumberFormat="1" applyFont="1" applyFill="1" applyBorder="1" applyAlignment="1">
      <alignment horizontal="left"/>
    </xf>
    <xf numFmtId="49" fontId="17" fillId="0" borderId="37" xfId="0" applyNumberFormat="1" applyFont="1" applyBorder="1" applyAlignment="1">
      <alignment horizontal="left"/>
    </xf>
    <xf numFmtId="49" fontId="17" fillId="2" borderId="22" xfId="0" applyNumberFormat="1" applyFont="1" applyFill="1" applyBorder="1" applyAlignment="1">
      <alignment/>
    </xf>
    <xf numFmtId="49" fontId="17" fillId="0" borderId="46" xfId="0" applyNumberFormat="1" applyFont="1" applyBorder="1" applyAlignment="1">
      <alignment/>
    </xf>
    <xf numFmtId="49" fontId="13" fillId="0" borderId="43" xfId="0" applyNumberFormat="1" applyFont="1" applyBorder="1" applyAlignment="1">
      <alignment/>
    </xf>
    <xf numFmtId="49" fontId="17" fillId="2" borderId="45" xfId="0" applyNumberFormat="1" applyFont="1" applyFill="1" applyBorder="1" applyAlignment="1">
      <alignment/>
    </xf>
    <xf numFmtId="49" fontId="17" fillId="0" borderId="8" xfId="0" applyNumberFormat="1" applyFont="1" applyBorder="1" applyAlignment="1">
      <alignment/>
    </xf>
    <xf numFmtId="49" fontId="17" fillId="2" borderId="16" xfId="0" applyNumberFormat="1" applyFont="1" applyFill="1" applyBorder="1" applyAlignment="1">
      <alignment/>
    </xf>
    <xf numFmtId="49" fontId="13" fillId="0" borderId="46" xfId="0" applyNumberFormat="1" applyFont="1" applyBorder="1" applyAlignment="1">
      <alignment/>
    </xf>
    <xf numFmtId="49" fontId="17" fillId="0" borderId="44" xfId="0" applyNumberFormat="1" applyFont="1" applyBorder="1" applyAlignment="1">
      <alignment/>
    </xf>
    <xf numFmtId="49" fontId="17" fillId="0" borderId="12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7" fillId="2" borderId="18" xfId="0" applyFont="1" applyFill="1" applyBorder="1" applyAlignment="1">
      <alignment horizontal="left" wrapText="1"/>
    </xf>
    <xf numFmtId="0" fontId="17" fillId="0" borderId="15" xfId="0" applyFont="1" applyBorder="1" applyAlignment="1">
      <alignment/>
    </xf>
    <xf numFmtId="164" fontId="17" fillId="2" borderId="6" xfId="0" applyNumberFormat="1" applyFont="1" applyFill="1" applyBorder="1" applyAlignment="1">
      <alignment/>
    </xf>
    <xf numFmtId="0" fontId="17" fillId="0" borderId="31" xfId="0" applyFont="1" applyBorder="1" applyAlignment="1">
      <alignment/>
    </xf>
    <xf numFmtId="164" fontId="17" fillId="0" borderId="33" xfId="0" applyNumberFormat="1" applyFont="1" applyBorder="1" applyAlignment="1">
      <alignment/>
    </xf>
    <xf numFmtId="49" fontId="17" fillId="2" borderId="2" xfId="0" applyNumberFormat="1" applyFont="1" applyFill="1" applyBorder="1" applyAlignment="1">
      <alignment/>
    </xf>
    <xf numFmtId="49" fontId="17" fillId="2" borderId="6" xfId="0" applyNumberFormat="1" applyFont="1" applyFill="1" applyBorder="1" applyAlignment="1">
      <alignment horizontal="left"/>
    </xf>
    <xf numFmtId="174" fontId="15" fillId="0" borderId="16" xfId="20" applyNumberFormat="1" applyFont="1" applyBorder="1" applyAlignment="1">
      <alignment horizontal="center"/>
    </xf>
    <xf numFmtId="174" fontId="13" fillId="0" borderId="47" xfId="20" applyNumberFormat="1" applyFont="1" applyBorder="1" applyAlignment="1">
      <alignment/>
    </xf>
    <xf numFmtId="174" fontId="13" fillId="0" borderId="16" xfId="20" applyNumberFormat="1" applyFont="1" applyBorder="1" applyAlignment="1">
      <alignment/>
    </xf>
    <xf numFmtId="174" fontId="13" fillId="0" borderId="1" xfId="20" applyNumberFormat="1" applyFont="1" applyBorder="1" applyAlignment="1">
      <alignment/>
    </xf>
    <xf numFmtId="174" fontId="13" fillId="0" borderId="16" xfId="20" applyNumberFormat="1" applyFont="1" applyBorder="1" applyAlignment="1">
      <alignment horizontal="left"/>
    </xf>
    <xf numFmtId="174" fontId="13" fillId="0" borderId="5" xfId="20" applyNumberFormat="1" applyFont="1" applyBorder="1" applyAlignment="1">
      <alignment/>
    </xf>
    <xf numFmtId="0" fontId="17" fillId="2" borderId="12" xfId="0" applyFont="1" applyFill="1" applyBorder="1" applyAlignment="1">
      <alignment/>
    </xf>
    <xf numFmtId="49" fontId="13" fillId="0" borderId="48" xfId="0" applyNumberFormat="1" applyFont="1" applyBorder="1" applyAlignment="1">
      <alignment/>
    </xf>
    <xf numFmtId="164" fontId="13" fillId="0" borderId="3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164" fontId="13" fillId="0" borderId="18" xfId="0" applyNumberFormat="1" applyFont="1" applyBorder="1" applyAlignment="1">
      <alignment/>
    </xf>
    <xf numFmtId="164" fontId="17" fillId="0" borderId="26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7" fillId="0" borderId="47" xfId="0" applyNumberFormat="1" applyFont="1" applyBorder="1" applyAlignment="1">
      <alignment/>
    </xf>
    <xf numFmtId="49" fontId="13" fillId="0" borderId="49" xfId="0" applyNumberFormat="1" applyFont="1" applyBorder="1" applyAlignment="1">
      <alignment horizontal="left"/>
    </xf>
    <xf numFmtId="49" fontId="13" fillId="0" borderId="20" xfId="0" applyNumberFormat="1" applyFont="1" applyBorder="1" applyAlignment="1">
      <alignment horizontal="left"/>
    </xf>
    <xf numFmtId="49" fontId="13" fillId="0" borderId="22" xfId="0" applyNumberFormat="1" applyFont="1" applyBorder="1" applyAlignment="1">
      <alignment horizontal="left"/>
    </xf>
    <xf numFmtId="49" fontId="13" fillId="0" borderId="20" xfId="0" applyNumberFormat="1" applyFont="1" applyBorder="1" applyAlignment="1">
      <alignment/>
    </xf>
    <xf numFmtId="0" fontId="13" fillId="0" borderId="8" xfId="0" applyFont="1" applyBorder="1" applyAlignment="1">
      <alignment wrapText="1"/>
    </xf>
    <xf numFmtId="0" fontId="10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13" fillId="0" borderId="3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36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5" fillId="0" borderId="36" xfId="0" applyFont="1" applyBorder="1" applyAlignment="1">
      <alignment/>
    </xf>
    <xf numFmtId="0" fontId="14" fillId="0" borderId="36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4" fillId="0" borderId="36" xfId="0" applyNumberFormat="1" applyFont="1" applyFill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left"/>
    </xf>
    <xf numFmtId="0" fontId="8" fillId="0" borderId="16" xfId="0" applyFont="1" applyBorder="1" applyAlignment="1">
      <alignment/>
    </xf>
    <xf numFmtId="49" fontId="14" fillId="0" borderId="36" xfId="0" applyNumberFormat="1" applyFont="1" applyBorder="1" applyAlignment="1">
      <alignment/>
    </xf>
    <xf numFmtId="49" fontId="14" fillId="0" borderId="36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9"/>
  <sheetViews>
    <sheetView workbookViewId="0" topLeftCell="A1">
      <selection activeCell="D4" sqref="D4:H4"/>
    </sheetView>
  </sheetViews>
  <sheetFormatPr defaultColWidth="8.796875" defaultRowHeight="15"/>
  <cols>
    <col min="1" max="1" width="56.69921875" style="18" customWidth="1"/>
    <col min="2" max="2" width="3.59765625" style="19" customWidth="1"/>
    <col min="3" max="3" width="3.5" style="19" customWidth="1"/>
    <col min="4" max="4" width="10.59765625" style="19" customWidth="1"/>
    <col min="5" max="5" width="4.09765625" style="19" customWidth="1"/>
    <col min="6" max="6" width="0.1015625" style="19" hidden="1" customWidth="1"/>
    <col min="7" max="7" width="15" style="21" customWidth="1"/>
    <col min="8" max="8" width="13.09765625" style="18" customWidth="1"/>
    <col min="9" max="9" width="8.69921875" style="6" customWidth="1"/>
  </cols>
  <sheetData>
    <row r="1" spans="3:9" ht="15.75">
      <c r="C1" s="18"/>
      <c r="D1" s="267" t="s">
        <v>344</v>
      </c>
      <c r="E1" s="267"/>
      <c r="F1" s="267"/>
      <c r="G1" s="267"/>
      <c r="H1" s="267"/>
      <c r="I1" s="5"/>
    </row>
    <row r="2" spans="3:9" ht="15.75">
      <c r="C2" s="18"/>
      <c r="D2" s="267" t="s">
        <v>198</v>
      </c>
      <c r="E2" s="267"/>
      <c r="F2" s="267"/>
      <c r="G2" s="267"/>
      <c r="H2" s="267"/>
      <c r="I2" s="5"/>
    </row>
    <row r="3" spans="3:9" ht="15.75">
      <c r="C3" s="18"/>
      <c r="D3" s="267" t="s">
        <v>443</v>
      </c>
      <c r="E3" s="267"/>
      <c r="F3" s="267"/>
      <c r="G3" s="267"/>
      <c r="H3" s="267"/>
      <c r="I3" s="5"/>
    </row>
    <row r="4" spans="3:9" ht="15.75">
      <c r="C4" s="18"/>
      <c r="D4" s="268" t="s">
        <v>345</v>
      </c>
      <c r="E4" s="268"/>
      <c r="F4" s="268"/>
      <c r="G4" s="268"/>
      <c r="H4" s="268"/>
      <c r="I4" s="5"/>
    </row>
    <row r="5" spans="3:9" ht="15.75">
      <c r="C5" s="18"/>
      <c r="D5" s="267" t="s">
        <v>198</v>
      </c>
      <c r="E5" s="267"/>
      <c r="F5" s="267"/>
      <c r="G5" s="267"/>
      <c r="H5" s="267"/>
      <c r="I5" s="5"/>
    </row>
    <row r="6" spans="3:9" ht="15.75">
      <c r="C6" s="18"/>
      <c r="D6" s="267" t="s">
        <v>346</v>
      </c>
      <c r="E6" s="267"/>
      <c r="F6" s="267"/>
      <c r="G6" s="267"/>
      <c r="H6" s="267"/>
      <c r="I6" s="5"/>
    </row>
    <row r="7" ht="15.75">
      <c r="H7" s="7"/>
    </row>
    <row r="8" spans="1:9" s="150" customFormat="1" ht="15">
      <c r="A8" s="272" t="s">
        <v>305</v>
      </c>
      <c r="B8" s="272"/>
      <c r="C8" s="272"/>
      <c r="D8" s="272"/>
      <c r="E8" s="272"/>
      <c r="F8" s="272"/>
      <c r="G8" s="272"/>
      <c r="H8" s="272"/>
      <c r="I8" s="15"/>
    </row>
    <row r="9" spans="1:9" s="150" customFormat="1" ht="18.75" customHeight="1">
      <c r="A9" s="273" t="s">
        <v>306</v>
      </c>
      <c r="B9" s="273"/>
      <c r="C9" s="273"/>
      <c r="D9" s="273"/>
      <c r="E9" s="273"/>
      <c r="F9" s="273"/>
      <c r="G9" s="273"/>
      <c r="H9" s="273"/>
      <c r="I9" s="15"/>
    </row>
    <row r="10" spans="1:8" ht="18.75" customHeight="1" thickBot="1">
      <c r="A10" s="11"/>
      <c r="B10" s="11"/>
      <c r="C10" s="11"/>
      <c r="D10" s="11"/>
      <c r="E10" s="11"/>
      <c r="F10" s="11"/>
      <c r="G10" s="11"/>
      <c r="H10" s="12" t="s">
        <v>199</v>
      </c>
    </row>
    <row r="11" spans="1:9" s="4" customFormat="1" ht="16.5" thickBot="1">
      <c r="A11" s="276" t="s">
        <v>94</v>
      </c>
      <c r="B11" s="269" t="s">
        <v>147</v>
      </c>
      <c r="C11" s="269" t="s">
        <v>148</v>
      </c>
      <c r="D11" s="269" t="s">
        <v>149</v>
      </c>
      <c r="E11" s="269" t="s">
        <v>150</v>
      </c>
      <c r="F11" s="22"/>
      <c r="G11" s="271" t="s">
        <v>50</v>
      </c>
      <c r="H11" s="274" t="s">
        <v>264</v>
      </c>
      <c r="I11" s="6"/>
    </row>
    <row r="12" spans="1:9" s="4" customFormat="1" ht="74.25" customHeight="1" thickBot="1">
      <c r="A12" s="270"/>
      <c r="B12" s="270"/>
      <c r="C12" s="270"/>
      <c r="D12" s="270"/>
      <c r="E12" s="270"/>
      <c r="F12" s="23"/>
      <c r="G12" s="270"/>
      <c r="H12" s="275"/>
      <c r="I12" s="6"/>
    </row>
    <row r="13" spans="1:9" s="4" customFormat="1" ht="16.5" thickBot="1">
      <c r="A13" s="75" t="s">
        <v>15</v>
      </c>
      <c r="B13" s="22" t="s">
        <v>151</v>
      </c>
      <c r="C13" s="24" t="s">
        <v>96</v>
      </c>
      <c r="D13" s="22" t="s">
        <v>42</v>
      </c>
      <c r="E13" s="24" t="s">
        <v>44</v>
      </c>
      <c r="F13" s="22"/>
      <c r="G13" s="25">
        <f>G14+G35+G39+G24+G18+G32+G28</f>
        <v>148611</v>
      </c>
      <c r="H13" s="25">
        <f>H14+H35+H39+H24+H18+H32+H28</f>
        <v>8277.4</v>
      </c>
      <c r="I13" s="6"/>
    </row>
    <row r="14" spans="1:9" s="4" customFormat="1" ht="30">
      <c r="A14" s="26" t="s">
        <v>79</v>
      </c>
      <c r="B14" s="27" t="s">
        <v>151</v>
      </c>
      <c r="C14" s="28" t="s">
        <v>152</v>
      </c>
      <c r="D14" s="27" t="s">
        <v>42</v>
      </c>
      <c r="E14" s="28" t="s">
        <v>44</v>
      </c>
      <c r="F14" s="27"/>
      <c r="G14" s="29">
        <f aca="true" t="shared" si="0" ref="G14:H16">G15</f>
        <v>1748</v>
      </c>
      <c r="H14" s="29">
        <f t="shared" si="0"/>
        <v>0</v>
      </c>
      <c r="I14" s="6"/>
    </row>
    <row r="15" spans="1:9" s="4" customFormat="1" ht="42.75" customHeight="1">
      <c r="A15" s="142" t="s">
        <v>256</v>
      </c>
      <c r="B15" s="30" t="s">
        <v>151</v>
      </c>
      <c r="C15" s="31" t="s">
        <v>152</v>
      </c>
      <c r="D15" s="30" t="s">
        <v>202</v>
      </c>
      <c r="E15" s="31" t="s">
        <v>44</v>
      </c>
      <c r="F15" s="30"/>
      <c r="G15" s="32">
        <f t="shared" si="0"/>
        <v>1748</v>
      </c>
      <c r="H15" s="32">
        <f t="shared" si="0"/>
        <v>0</v>
      </c>
      <c r="I15" s="6"/>
    </row>
    <row r="16" spans="1:9" s="4" customFormat="1" ht="15.75">
      <c r="A16" s="143" t="s">
        <v>213</v>
      </c>
      <c r="B16" s="30" t="s">
        <v>151</v>
      </c>
      <c r="C16" s="31" t="s">
        <v>152</v>
      </c>
      <c r="D16" s="30" t="s">
        <v>214</v>
      </c>
      <c r="E16" s="31" t="s">
        <v>44</v>
      </c>
      <c r="F16" s="30"/>
      <c r="G16" s="32">
        <f t="shared" si="0"/>
        <v>1748</v>
      </c>
      <c r="H16" s="32">
        <f t="shared" si="0"/>
        <v>0</v>
      </c>
      <c r="I16" s="6"/>
    </row>
    <row r="17" spans="1:9" s="4" customFormat="1" ht="15.75">
      <c r="A17" s="144" t="s">
        <v>115</v>
      </c>
      <c r="B17" s="30" t="s">
        <v>151</v>
      </c>
      <c r="C17" s="31" t="s">
        <v>152</v>
      </c>
      <c r="D17" s="30" t="s">
        <v>214</v>
      </c>
      <c r="E17" s="31" t="s">
        <v>203</v>
      </c>
      <c r="F17" s="30"/>
      <c r="G17" s="32">
        <f>'Прилож №5'!H16</f>
        <v>1748</v>
      </c>
      <c r="H17" s="32">
        <f>'Прилож №5'!I16</f>
        <v>0</v>
      </c>
      <c r="I17" s="6"/>
    </row>
    <row r="18" spans="1:8" s="15" customFormat="1" ht="45">
      <c r="A18" s="26" t="s">
        <v>215</v>
      </c>
      <c r="B18" s="34" t="s">
        <v>151</v>
      </c>
      <c r="C18" s="35" t="s">
        <v>156</v>
      </c>
      <c r="D18" s="34" t="s">
        <v>42</v>
      </c>
      <c r="E18" s="35" t="s">
        <v>44</v>
      </c>
      <c r="F18" s="34"/>
      <c r="G18" s="36">
        <f>G19</f>
        <v>2916</v>
      </c>
      <c r="H18" s="36">
        <f>H19</f>
        <v>0</v>
      </c>
    </row>
    <row r="19" spans="1:9" s="4" customFormat="1" ht="43.5">
      <c r="A19" s="142" t="s">
        <v>212</v>
      </c>
      <c r="B19" s="30" t="s">
        <v>151</v>
      </c>
      <c r="C19" s="31" t="s">
        <v>156</v>
      </c>
      <c r="D19" s="30" t="s">
        <v>202</v>
      </c>
      <c r="E19" s="31" t="s">
        <v>44</v>
      </c>
      <c r="F19" s="30"/>
      <c r="G19" s="32">
        <f>G22+G20</f>
        <v>2916</v>
      </c>
      <c r="H19" s="32">
        <f>H22</f>
        <v>0</v>
      </c>
      <c r="I19" s="6"/>
    </row>
    <row r="20" spans="1:9" s="4" customFormat="1" ht="15.75">
      <c r="A20" s="144" t="s">
        <v>45</v>
      </c>
      <c r="B20" s="30" t="s">
        <v>151</v>
      </c>
      <c r="C20" s="31" t="s">
        <v>156</v>
      </c>
      <c r="D20" s="30" t="s">
        <v>204</v>
      </c>
      <c r="E20" s="31" t="s">
        <v>44</v>
      </c>
      <c r="F20" s="30"/>
      <c r="G20" s="32">
        <f>G21</f>
        <v>1626</v>
      </c>
      <c r="H20" s="32">
        <f>H21</f>
        <v>0</v>
      </c>
      <c r="I20" s="6"/>
    </row>
    <row r="21" spans="1:9" s="4" customFormat="1" ht="15.75">
      <c r="A21" s="144" t="s">
        <v>115</v>
      </c>
      <c r="B21" s="30" t="s">
        <v>151</v>
      </c>
      <c r="C21" s="31" t="s">
        <v>156</v>
      </c>
      <c r="D21" s="30" t="s">
        <v>204</v>
      </c>
      <c r="E21" s="31" t="s">
        <v>203</v>
      </c>
      <c r="F21" s="30"/>
      <c r="G21" s="32">
        <f>'Прилож №5'!H465</f>
        <v>1626</v>
      </c>
      <c r="H21" s="32">
        <f>'Прилож №5'!I465</f>
        <v>0</v>
      </c>
      <c r="I21" s="6"/>
    </row>
    <row r="22" spans="1:9" s="4" customFormat="1" ht="29.25">
      <c r="A22" s="143" t="s">
        <v>216</v>
      </c>
      <c r="B22" s="30" t="s">
        <v>151</v>
      </c>
      <c r="C22" s="31" t="s">
        <v>156</v>
      </c>
      <c r="D22" s="30" t="s">
        <v>217</v>
      </c>
      <c r="E22" s="31" t="s">
        <v>44</v>
      </c>
      <c r="F22" s="30"/>
      <c r="G22" s="32">
        <f>G23</f>
        <v>1290</v>
      </c>
      <c r="H22" s="32">
        <f>H23</f>
        <v>0</v>
      </c>
      <c r="I22" s="6"/>
    </row>
    <row r="23" spans="1:9" s="4" customFormat="1" ht="15.75">
      <c r="A23" s="144" t="s">
        <v>115</v>
      </c>
      <c r="B23" s="30" t="s">
        <v>151</v>
      </c>
      <c r="C23" s="31" t="s">
        <v>156</v>
      </c>
      <c r="D23" s="30" t="s">
        <v>217</v>
      </c>
      <c r="E23" s="31" t="s">
        <v>203</v>
      </c>
      <c r="F23" s="30"/>
      <c r="G23" s="32">
        <f>'Прилож №5'!H467</f>
        <v>1290</v>
      </c>
      <c r="H23" s="32">
        <f>'Прилож №5'!I467</f>
        <v>0</v>
      </c>
      <c r="I23" s="6"/>
    </row>
    <row r="24" spans="1:9" s="4" customFormat="1" ht="42" customHeight="1">
      <c r="A24" s="33" t="s">
        <v>80</v>
      </c>
      <c r="B24" s="34" t="s">
        <v>151</v>
      </c>
      <c r="C24" s="35" t="s">
        <v>153</v>
      </c>
      <c r="D24" s="34" t="s">
        <v>42</v>
      </c>
      <c r="E24" s="35" t="s">
        <v>44</v>
      </c>
      <c r="F24" s="34"/>
      <c r="G24" s="36">
        <f aca="true" t="shared" si="1" ref="G24:H26">G25</f>
        <v>72435.2</v>
      </c>
      <c r="H24" s="36">
        <f t="shared" si="1"/>
        <v>5180</v>
      </c>
      <c r="I24" s="6"/>
    </row>
    <row r="25" spans="1:9" s="4" customFormat="1" ht="18.75" customHeight="1">
      <c r="A25" s="142" t="s">
        <v>116</v>
      </c>
      <c r="B25" s="30" t="s">
        <v>151</v>
      </c>
      <c r="C25" s="31" t="s">
        <v>153</v>
      </c>
      <c r="D25" s="30" t="s">
        <v>202</v>
      </c>
      <c r="E25" s="31" t="s">
        <v>44</v>
      </c>
      <c r="F25" s="30"/>
      <c r="G25" s="32">
        <f t="shared" si="1"/>
        <v>72435.2</v>
      </c>
      <c r="H25" s="32">
        <f t="shared" si="1"/>
        <v>5180</v>
      </c>
      <c r="I25" s="6"/>
    </row>
    <row r="26" spans="1:9" s="4" customFormat="1" ht="15.75">
      <c r="A26" s="144" t="s">
        <v>45</v>
      </c>
      <c r="B26" s="30" t="s">
        <v>151</v>
      </c>
      <c r="C26" s="31" t="s">
        <v>153</v>
      </c>
      <c r="D26" s="30" t="s">
        <v>204</v>
      </c>
      <c r="E26" s="31" t="s">
        <v>44</v>
      </c>
      <c r="F26" s="30"/>
      <c r="G26" s="32">
        <f t="shared" si="1"/>
        <v>72435.2</v>
      </c>
      <c r="H26" s="32">
        <f t="shared" si="1"/>
        <v>5180</v>
      </c>
      <c r="I26" s="6"/>
    </row>
    <row r="27" spans="1:9" s="4" customFormat="1" ht="15.75">
      <c r="A27" s="144" t="s">
        <v>115</v>
      </c>
      <c r="B27" s="30" t="s">
        <v>151</v>
      </c>
      <c r="C27" s="31" t="s">
        <v>153</v>
      </c>
      <c r="D27" s="30" t="s">
        <v>204</v>
      </c>
      <c r="E27" s="31" t="s">
        <v>203</v>
      </c>
      <c r="F27" s="30"/>
      <c r="G27" s="32">
        <f>'Прилож №5'!H20</f>
        <v>72435.2</v>
      </c>
      <c r="H27" s="32">
        <f>'Прилож №5'!I20</f>
        <v>5180</v>
      </c>
      <c r="I27" s="6"/>
    </row>
    <row r="28" spans="1:9" s="4" customFormat="1" ht="15.75">
      <c r="A28" s="166" t="s">
        <v>364</v>
      </c>
      <c r="B28" s="35" t="s">
        <v>151</v>
      </c>
      <c r="C28" s="34" t="s">
        <v>165</v>
      </c>
      <c r="D28" s="35" t="s">
        <v>42</v>
      </c>
      <c r="E28" s="34" t="s">
        <v>44</v>
      </c>
      <c r="F28" s="181" t="s">
        <v>44</v>
      </c>
      <c r="G28" s="36">
        <f>G29</f>
        <v>5</v>
      </c>
      <c r="H28" s="36">
        <f>H29</f>
        <v>5</v>
      </c>
      <c r="I28" s="6"/>
    </row>
    <row r="29" spans="1:9" s="4" customFormat="1" ht="15.75">
      <c r="A29" s="144" t="s">
        <v>365</v>
      </c>
      <c r="B29" s="31" t="s">
        <v>151</v>
      </c>
      <c r="C29" s="30" t="s">
        <v>151</v>
      </c>
      <c r="D29" s="31" t="s">
        <v>366</v>
      </c>
      <c r="E29" s="30" t="s">
        <v>44</v>
      </c>
      <c r="F29" s="61" t="s">
        <v>44</v>
      </c>
      <c r="G29" s="32">
        <f>G30</f>
        <v>5</v>
      </c>
      <c r="H29" s="32">
        <f>H30</f>
        <v>5</v>
      </c>
      <c r="I29" s="6"/>
    </row>
    <row r="30" spans="1:9" s="4" customFormat="1" ht="43.5">
      <c r="A30" s="143" t="s">
        <v>367</v>
      </c>
      <c r="B30" s="31" t="s">
        <v>151</v>
      </c>
      <c r="C30" s="30" t="s">
        <v>165</v>
      </c>
      <c r="D30" s="31" t="s">
        <v>368</v>
      </c>
      <c r="E30" s="30" t="s">
        <v>44</v>
      </c>
      <c r="F30" s="61" t="s">
        <v>44</v>
      </c>
      <c r="G30" s="32">
        <v>5</v>
      </c>
      <c r="H30" s="32">
        <v>5</v>
      </c>
      <c r="I30" s="6"/>
    </row>
    <row r="31" spans="1:9" s="4" customFormat="1" ht="15.75">
      <c r="A31" s="144" t="s">
        <v>115</v>
      </c>
      <c r="B31" s="31" t="s">
        <v>151</v>
      </c>
      <c r="C31" s="30" t="s">
        <v>165</v>
      </c>
      <c r="D31" s="31" t="s">
        <v>368</v>
      </c>
      <c r="E31" s="30" t="s">
        <v>203</v>
      </c>
      <c r="F31" s="61" t="s">
        <v>203</v>
      </c>
      <c r="G31" s="32">
        <f>'Прилож №5'!H24</f>
        <v>5</v>
      </c>
      <c r="H31" s="32">
        <f>'Прилож №5'!I24</f>
        <v>5</v>
      </c>
      <c r="I31" s="6"/>
    </row>
    <row r="32" spans="1:9" s="4" customFormat="1" ht="45">
      <c r="A32" s="26" t="s">
        <v>245</v>
      </c>
      <c r="B32" s="34" t="s">
        <v>151</v>
      </c>
      <c r="C32" s="35" t="s">
        <v>170</v>
      </c>
      <c r="D32" s="34" t="s">
        <v>42</v>
      </c>
      <c r="E32" s="35" t="s">
        <v>44</v>
      </c>
      <c r="F32" s="34"/>
      <c r="G32" s="36">
        <f>G33</f>
        <v>10726.7</v>
      </c>
      <c r="H32" s="36">
        <f>H33</f>
        <v>0</v>
      </c>
      <c r="I32" s="6"/>
    </row>
    <row r="33" spans="1:9" s="4" customFormat="1" ht="15.75">
      <c r="A33" s="144" t="s">
        <v>45</v>
      </c>
      <c r="B33" s="30" t="s">
        <v>151</v>
      </c>
      <c r="C33" s="31" t="s">
        <v>170</v>
      </c>
      <c r="D33" s="30" t="s">
        <v>204</v>
      </c>
      <c r="E33" s="31" t="s">
        <v>44</v>
      </c>
      <c r="F33" s="30"/>
      <c r="G33" s="32">
        <f>G34</f>
        <v>10726.7</v>
      </c>
      <c r="H33" s="32">
        <f>H34</f>
        <v>0</v>
      </c>
      <c r="I33" s="6"/>
    </row>
    <row r="34" spans="1:9" s="4" customFormat="1" ht="15.75">
      <c r="A34" s="144" t="s">
        <v>115</v>
      </c>
      <c r="B34" s="30" t="s">
        <v>151</v>
      </c>
      <c r="C34" s="31" t="s">
        <v>170</v>
      </c>
      <c r="D34" s="30" t="s">
        <v>204</v>
      </c>
      <c r="E34" s="31" t="s">
        <v>203</v>
      </c>
      <c r="F34" s="30"/>
      <c r="G34" s="32">
        <f>'Прилож №5'!H394</f>
        <v>10726.7</v>
      </c>
      <c r="H34" s="32"/>
      <c r="I34" s="6"/>
    </row>
    <row r="35" spans="1:9" s="4" customFormat="1" ht="15.75">
      <c r="A35" s="37" t="s">
        <v>14</v>
      </c>
      <c r="B35" s="34" t="s">
        <v>151</v>
      </c>
      <c r="C35" s="35" t="s">
        <v>266</v>
      </c>
      <c r="D35" s="38" t="s">
        <v>42</v>
      </c>
      <c r="E35" s="35" t="s">
        <v>44</v>
      </c>
      <c r="F35" s="34" t="s">
        <v>2</v>
      </c>
      <c r="G35" s="36">
        <f aca="true" t="shared" si="2" ref="G35:H37">G36</f>
        <v>5000</v>
      </c>
      <c r="H35" s="36">
        <f t="shared" si="2"/>
        <v>0</v>
      </c>
      <c r="I35" s="6"/>
    </row>
    <row r="36" spans="1:9" s="4" customFormat="1" ht="15.75">
      <c r="A36" s="145" t="s">
        <v>14</v>
      </c>
      <c r="B36" s="39" t="s">
        <v>151</v>
      </c>
      <c r="C36" s="40" t="s">
        <v>266</v>
      </c>
      <c r="D36" s="39" t="s">
        <v>17</v>
      </c>
      <c r="E36" s="31" t="s">
        <v>44</v>
      </c>
      <c r="F36" s="39"/>
      <c r="G36" s="41">
        <f t="shared" si="2"/>
        <v>5000</v>
      </c>
      <c r="H36" s="41">
        <f t="shared" si="2"/>
        <v>0</v>
      </c>
      <c r="I36" s="6"/>
    </row>
    <row r="37" spans="1:9" s="4" customFormat="1" ht="29.25">
      <c r="A37" s="142" t="s">
        <v>118</v>
      </c>
      <c r="B37" s="39" t="s">
        <v>151</v>
      </c>
      <c r="C37" s="40" t="s">
        <v>266</v>
      </c>
      <c r="D37" s="39" t="s">
        <v>119</v>
      </c>
      <c r="E37" s="31" t="s">
        <v>44</v>
      </c>
      <c r="F37" s="39"/>
      <c r="G37" s="41">
        <f t="shared" si="2"/>
        <v>5000</v>
      </c>
      <c r="H37" s="41">
        <f t="shared" si="2"/>
        <v>0</v>
      </c>
      <c r="I37" s="6"/>
    </row>
    <row r="38" spans="1:9" s="4" customFormat="1" ht="15.75">
      <c r="A38" s="144" t="s">
        <v>117</v>
      </c>
      <c r="B38" s="30" t="s">
        <v>151</v>
      </c>
      <c r="C38" s="31" t="s">
        <v>266</v>
      </c>
      <c r="D38" s="30" t="s">
        <v>119</v>
      </c>
      <c r="E38" s="31" t="s">
        <v>97</v>
      </c>
      <c r="F38" s="30"/>
      <c r="G38" s="32">
        <f>'Прилож №5'!H28</f>
        <v>5000</v>
      </c>
      <c r="H38" s="32">
        <f>'Прилож №5'!I28</f>
        <v>0</v>
      </c>
      <c r="I38" s="6"/>
    </row>
    <row r="39" spans="1:9" s="4" customFormat="1" ht="15.75">
      <c r="A39" s="37" t="s">
        <v>62</v>
      </c>
      <c r="B39" s="34" t="s">
        <v>151</v>
      </c>
      <c r="C39" s="35" t="s">
        <v>265</v>
      </c>
      <c r="D39" s="34" t="s">
        <v>42</v>
      </c>
      <c r="E39" s="35" t="s">
        <v>44</v>
      </c>
      <c r="F39" s="34"/>
      <c r="G39" s="36">
        <f>G40+G43+G46</f>
        <v>55780.100000000006</v>
      </c>
      <c r="H39" s="36">
        <f>H40+H43+H46</f>
        <v>3092.4</v>
      </c>
      <c r="I39" s="6"/>
    </row>
    <row r="40" spans="1:9" s="4" customFormat="1" ht="43.5">
      <c r="A40" s="142" t="s">
        <v>212</v>
      </c>
      <c r="B40" s="30" t="s">
        <v>151</v>
      </c>
      <c r="C40" s="31" t="s">
        <v>265</v>
      </c>
      <c r="D40" s="30" t="s">
        <v>202</v>
      </c>
      <c r="E40" s="31" t="s">
        <v>44</v>
      </c>
      <c r="F40" s="30"/>
      <c r="G40" s="32">
        <f>G41</f>
        <v>18649.3</v>
      </c>
      <c r="H40" s="32">
        <f>H41</f>
        <v>0</v>
      </c>
      <c r="I40" s="6"/>
    </row>
    <row r="41" spans="1:9" s="4" customFormat="1" ht="15.75">
      <c r="A41" s="52" t="s">
        <v>45</v>
      </c>
      <c r="B41" s="30" t="s">
        <v>151</v>
      </c>
      <c r="C41" s="31" t="s">
        <v>265</v>
      </c>
      <c r="D41" s="30" t="s">
        <v>204</v>
      </c>
      <c r="E41" s="31" t="s">
        <v>44</v>
      </c>
      <c r="F41" s="30"/>
      <c r="G41" s="32">
        <f>G42</f>
        <v>18649.3</v>
      </c>
      <c r="H41" s="32">
        <f>H42</f>
        <v>0</v>
      </c>
      <c r="I41" s="6"/>
    </row>
    <row r="42" spans="1:9" s="4" customFormat="1" ht="15.75">
      <c r="A42" s="144" t="s">
        <v>115</v>
      </c>
      <c r="B42" s="30" t="s">
        <v>151</v>
      </c>
      <c r="C42" s="31" t="s">
        <v>265</v>
      </c>
      <c r="D42" s="30" t="s">
        <v>204</v>
      </c>
      <c r="E42" s="31" t="s">
        <v>203</v>
      </c>
      <c r="F42" s="30"/>
      <c r="G42" s="32">
        <f>'Прилож №5'!H373+'Прилож №5'!H404</f>
        <v>18649.3</v>
      </c>
      <c r="H42" s="32">
        <f>'Прилож №5'!I373+'Прилож №5'!I404</f>
        <v>0</v>
      </c>
      <c r="I42" s="6"/>
    </row>
    <row r="43" spans="1:9" s="4" customFormat="1" ht="29.25">
      <c r="A43" s="142" t="s">
        <v>169</v>
      </c>
      <c r="B43" s="30" t="s">
        <v>151</v>
      </c>
      <c r="C43" s="31" t="s">
        <v>265</v>
      </c>
      <c r="D43" s="30" t="s">
        <v>107</v>
      </c>
      <c r="E43" s="31" t="s">
        <v>44</v>
      </c>
      <c r="F43" s="30"/>
      <c r="G43" s="32">
        <f>G44</f>
        <v>14816</v>
      </c>
      <c r="H43" s="32">
        <f>H44</f>
        <v>3092.4</v>
      </c>
      <c r="I43" s="6"/>
    </row>
    <row r="44" spans="1:9" s="4" customFormat="1" ht="15.75">
      <c r="A44" s="142" t="s">
        <v>59</v>
      </c>
      <c r="B44" s="30" t="s">
        <v>151</v>
      </c>
      <c r="C44" s="31" t="s">
        <v>265</v>
      </c>
      <c r="D44" s="30" t="s">
        <v>168</v>
      </c>
      <c r="E44" s="31" t="s">
        <v>44</v>
      </c>
      <c r="F44" s="30"/>
      <c r="G44" s="32">
        <f>G45</f>
        <v>14816</v>
      </c>
      <c r="H44" s="32">
        <f>H45</f>
        <v>3092.4</v>
      </c>
      <c r="I44" s="6"/>
    </row>
    <row r="45" spans="1:9" s="4" customFormat="1" ht="15.75">
      <c r="A45" s="52" t="s">
        <v>115</v>
      </c>
      <c r="B45" s="39" t="s">
        <v>151</v>
      </c>
      <c r="C45" s="40" t="s">
        <v>265</v>
      </c>
      <c r="D45" s="39" t="s">
        <v>168</v>
      </c>
      <c r="E45" s="40" t="s">
        <v>203</v>
      </c>
      <c r="F45" s="39"/>
      <c r="G45" s="41">
        <f>'Прилож №5'!H407+'Прилож №5'!H32</f>
        <v>14816</v>
      </c>
      <c r="H45" s="41">
        <f>'Прилож №5'!I407+'Прилож №5'!I32</f>
        <v>3092.4</v>
      </c>
      <c r="I45" s="8"/>
    </row>
    <row r="46" spans="1:9" s="4" customFormat="1" ht="15.75">
      <c r="A46" s="125" t="s">
        <v>100</v>
      </c>
      <c r="B46" s="40" t="s">
        <v>151</v>
      </c>
      <c r="C46" s="39" t="s">
        <v>265</v>
      </c>
      <c r="D46" s="40" t="s">
        <v>101</v>
      </c>
      <c r="E46" s="31" t="s">
        <v>44</v>
      </c>
      <c r="F46" s="96"/>
      <c r="G46" s="32">
        <f>G48+G50</f>
        <v>22314.8</v>
      </c>
      <c r="H46" s="32">
        <f>H48+H50</f>
        <v>0</v>
      </c>
      <c r="I46" s="8"/>
    </row>
    <row r="47" spans="1:9" s="4" customFormat="1" ht="43.5">
      <c r="A47" s="127" t="s">
        <v>283</v>
      </c>
      <c r="B47" s="31" t="s">
        <v>151</v>
      </c>
      <c r="C47" s="30" t="s">
        <v>265</v>
      </c>
      <c r="D47" s="40" t="s">
        <v>282</v>
      </c>
      <c r="E47" s="31" t="s">
        <v>44</v>
      </c>
      <c r="F47" s="96"/>
      <c r="G47" s="32">
        <f>G48</f>
        <v>15814.8</v>
      </c>
      <c r="H47" s="32">
        <f>H48</f>
        <v>0</v>
      </c>
      <c r="I47" s="8"/>
    </row>
    <row r="48" spans="1:9" s="4" customFormat="1" ht="15.75">
      <c r="A48" s="125" t="s">
        <v>115</v>
      </c>
      <c r="B48" s="31" t="s">
        <v>151</v>
      </c>
      <c r="C48" s="30" t="s">
        <v>265</v>
      </c>
      <c r="D48" s="40" t="s">
        <v>282</v>
      </c>
      <c r="E48" s="99" t="s">
        <v>203</v>
      </c>
      <c r="F48" s="96" t="s">
        <v>203</v>
      </c>
      <c r="G48" s="32">
        <f>'Прилож №5'!H35+'Прилож №5'!H169+'Прилож №5'!H398+'Прилож №5'!H376+'Прилож №5'!H410+'Прилож №5'!H471</f>
        <v>15814.8</v>
      </c>
      <c r="H48" s="32">
        <f>'Прилож №5'!I35+'Прилож №5'!I169+'Прилож №5'!I398+'Прилож №5'!I376+'Прилож №5'!I410+'Прилож №5'!I471</f>
        <v>0</v>
      </c>
      <c r="I48" s="8"/>
    </row>
    <row r="49" spans="1:9" s="4" customFormat="1" ht="85.5">
      <c r="A49" s="130" t="s">
        <v>285</v>
      </c>
      <c r="B49" s="31" t="s">
        <v>151</v>
      </c>
      <c r="C49" s="30" t="s">
        <v>265</v>
      </c>
      <c r="D49" s="31" t="s">
        <v>284</v>
      </c>
      <c r="E49" s="31" t="s">
        <v>44</v>
      </c>
      <c r="F49" s="96"/>
      <c r="G49" s="32">
        <f>G50</f>
        <v>6500</v>
      </c>
      <c r="H49" s="32">
        <f>H50</f>
        <v>0</v>
      </c>
      <c r="I49" s="8"/>
    </row>
    <row r="50" spans="1:9" s="4" customFormat="1" ht="16.5" thickBot="1">
      <c r="A50" s="126" t="s">
        <v>115</v>
      </c>
      <c r="B50" s="40" t="s">
        <v>151</v>
      </c>
      <c r="C50" s="39" t="s">
        <v>265</v>
      </c>
      <c r="D50" s="40" t="s">
        <v>284</v>
      </c>
      <c r="E50" s="99" t="s">
        <v>203</v>
      </c>
      <c r="F50" s="117" t="s">
        <v>203</v>
      </c>
      <c r="G50" s="41">
        <f>'Прилож №5'!H37+'Прилож №5'!H378</f>
        <v>6500</v>
      </c>
      <c r="H50" s="41">
        <f>'Прилож №5'!I37+'Прилож №5'!I378</f>
        <v>0</v>
      </c>
      <c r="I50" s="8"/>
    </row>
    <row r="51" spans="1:9" s="4" customFormat="1" ht="16.5" thickBot="1">
      <c r="A51" s="75" t="s">
        <v>63</v>
      </c>
      <c r="B51" s="22" t="s">
        <v>152</v>
      </c>
      <c r="C51" s="24" t="s">
        <v>96</v>
      </c>
      <c r="D51" s="22" t="s">
        <v>42</v>
      </c>
      <c r="E51" s="24" t="s">
        <v>44</v>
      </c>
      <c r="F51" s="22"/>
      <c r="G51" s="25">
        <f aca="true" t="shared" si="3" ref="G51:H54">G52</f>
        <v>1120</v>
      </c>
      <c r="H51" s="25">
        <f t="shared" si="3"/>
        <v>0</v>
      </c>
      <c r="I51" s="6"/>
    </row>
    <row r="52" spans="1:9" s="4" customFormat="1" ht="15.75">
      <c r="A52" s="46" t="s">
        <v>64</v>
      </c>
      <c r="B52" s="27" t="s">
        <v>152</v>
      </c>
      <c r="C52" s="28" t="s">
        <v>153</v>
      </c>
      <c r="D52" s="27" t="s">
        <v>42</v>
      </c>
      <c r="E52" s="64" t="s">
        <v>44</v>
      </c>
      <c r="F52" s="27"/>
      <c r="G52" s="29">
        <f t="shared" si="3"/>
        <v>1120</v>
      </c>
      <c r="H52" s="29">
        <f t="shared" si="3"/>
        <v>0</v>
      </c>
      <c r="I52" s="6"/>
    </row>
    <row r="53" spans="1:9" s="4" customFormat="1" ht="29.25">
      <c r="A53" s="142" t="s">
        <v>81</v>
      </c>
      <c r="B53" s="30" t="s">
        <v>152</v>
      </c>
      <c r="C53" s="31" t="s">
        <v>153</v>
      </c>
      <c r="D53" s="30" t="s">
        <v>65</v>
      </c>
      <c r="E53" s="31" t="s">
        <v>44</v>
      </c>
      <c r="F53" s="30"/>
      <c r="G53" s="32">
        <f t="shared" si="3"/>
        <v>1120</v>
      </c>
      <c r="H53" s="32">
        <f t="shared" si="3"/>
        <v>0</v>
      </c>
      <c r="I53" s="6"/>
    </row>
    <row r="54" spans="1:9" s="4" customFormat="1" ht="15" customHeight="1">
      <c r="A54" s="142" t="s">
        <v>82</v>
      </c>
      <c r="B54" s="30" t="s">
        <v>152</v>
      </c>
      <c r="C54" s="31" t="s">
        <v>153</v>
      </c>
      <c r="D54" s="30" t="s">
        <v>120</v>
      </c>
      <c r="E54" s="31" t="s">
        <v>44</v>
      </c>
      <c r="F54" s="47"/>
      <c r="G54" s="41">
        <f t="shared" si="3"/>
        <v>1120</v>
      </c>
      <c r="H54" s="41">
        <f t="shared" si="3"/>
        <v>0</v>
      </c>
      <c r="I54" s="6"/>
    </row>
    <row r="55" spans="1:9" s="4" customFormat="1" ht="15" customHeight="1" thickBot="1">
      <c r="A55" s="144" t="s">
        <v>115</v>
      </c>
      <c r="B55" s="39" t="s">
        <v>152</v>
      </c>
      <c r="C55" s="40" t="s">
        <v>153</v>
      </c>
      <c r="D55" s="39" t="s">
        <v>120</v>
      </c>
      <c r="E55" s="40" t="s">
        <v>203</v>
      </c>
      <c r="F55" s="47"/>
      <c r="G55" s="41">
        <f>'Прилож №5'!H42</f>
        <v>1120</v>
      </c>
      <c r="H55" s="41">
        <f>'Прилож №5'!I42</f>
        <v>0</v>
      </c>
      <c r="I55" s="6"/>
    </row>
    <row r="56" spans="1:9" s="14" customFormat="1" ht="32.25" customHeight="1" thickBot="1">
      <c r="A56" s="119" t="s">
        <v>90</v>
      </c>
      <c r="B56" s="49" t="s">
        <v>156</v>
      </c>
      <c r="C56" s="49" t="s">
        <v>96</v>
      </c>
      <c r="D56" s="48" t="s">
        <v>42</v>
      </c>
      <c r="E56" s="24" t="s">
        <v>44</v>
      </c>
      <c r="F56" s="50" t="s">
        <v>3</v>
      </c>
      <c r="G56" s="51">
        <f>G57+G73+G80</f>
        <v>27707</v>
      </c>
      <c r="H56" s="51">
        <f>H57+H73+H80</f>
        <v>1065</v>
      </c>
      <c r="I56" s="8"/>
    </row>
    <row r="57" spans="1:9" s="3" customFormat="1" ht="15.75">
      <c r="A57" s="17" t="s">
        <v>18</v>
      </c>
      <c r="B57" s="28" t="s">
        <v>156</v>
      </c>
      <c r="C57" s="28" t="s">
        <v>152</v>
      </c>
      <c r="D57" s="27" t="s">
        <v>42</v>
      </c>
      <c r="E57" s="64" t="s">
        <v>44</v>
      </c>
      <c r="F57" s="27"/>
      <c r="G57" s="29">
        <f>G58</f>
        <v>17832</v>
      </c>
      <c r="H57" s="29">
        <f>H58</f>
        <v>1065</v>
      </c>
      <c r="I57" s="6"/>
    </row>
    <row r="58" spans="1:9" s="4" customFormat="1" ht="15.75">
      <c r="A58" s="125" t="s">
        <v>67</v>
      </c>
      <c r="B58" s="31" t="s">
        <v>156</v>
      </c>
      <c r="C58" s="31" t="s">
        <v>152</v>
      </c>
      <c r="D58" s="30" t="s">
        <v>47</v>
      </c>
      <c r="E58" s="31" t="s">
        <v>44</v>
      </c>
      <c r="F58" s="30"/>
      <c r="G58" s="32">
        <f>G59+G61+G63+G71+G68</f>
        <v>17832</v>
      </c>
      <c r="H58" s="32">
        <f>H59+H61+H63+H71+H68</f>
        <v>1065</v>
      </c>
      <c r="I58" s="6"/>
    </row>
    <row r="59" spans="1:9" s="4" customFormat="1" ht="57.75">
      <c r="A59" s="127" t="s">
        <v>122</v>
      </c>
      <c r="B59" s="31" t="s">
        <v>156</v>
      </c>
      <c r="C59" s="31" t="s">
        <v>152</v>
      </c>
      <c r="D59" s="30" t="s">
        <v>121</v>
      </c>
      <c r="E59" s="31" t="s">
        <v>44</v>
      </c>
      <c r="F59" s="30"/>
      <c r="G59" s="32">
        <f>G60</f>
        <v>1065</v>
      </c>
      <c r="H59" s="32">
        <f>H60</f>
        <v>1065</v>
      </c>
      <c r="I59" s="6"/>
    </row>
    <row r="60" spans="1:9" s="4" customFormat="1" ht="30" customHeight="1">
      <c r="A60" s="127" t="s">
        <v>123</v>
      </c>
      <c r="B60" s="31" t="s">
        <v>156</v>
      </c>
      <c r="C60" s="31" t="s">
        <v>152</v>
      </c>
      <c r="D60" s="30" t="s">
        <v>121</v>
      </c>
      <c r="E60" s="31" t="s">
        <v>98</v>
      </c>
      <c r="F60" s="30"/>
      <c r="G60" s="32">
        <f>'Прилож №5'!H443</f>
        <v>1065</v>
      </c>
      <c r="H60" s="32">
        <f>'Прилож №5'!I443</f>
        <v>1065</v>
      </c>
      <c r="I60" s="6"/>
    </row>
    <row r="61" spans="1:9" s="4" customFormat="1" ht="15.75">
      <c r="A61" s="125" t="s">
        <v>124</v>
      </c>
      <c r="B61" s="31" t="s">
        <v>156</v>
      </c>
      <c r="C61" s="31" t="s">
        <v>152</v>
      </c>
      <c r="D61" s="30" t="s">
        <v>125</v>
      </c>
      <c r="E61" s="31" t="s">
        <v>44</v>
      </c>
      <c r="F61" s="30"/>
      <c r="G61" s="32">
        <f>G62</f>
        <v>11972.4</v>
      </c>
      <c r="H61" s="32">
        <f>H62</f>
        <v>0</v>
      </c>
      <c r="I61" s="6"/>
    </row>
    <row r="62" spans="1:9" s="4" customFormat="1" ht="30" customHeight="1">
      <c r="A62" s="127" t="s">
        <v>123</v>
      </c>
      <c r="B62" s="31" t="s">
        <v>156</v>
      </c>
      <c r="C62" s="31" t="s">
        <v>152</v>
      </c>
      <c r="D62" s="30" t="s">
        <v>126</v>
      </c>
      <c r="E62" s="31" t="s">
        <v>98</v>
      </c>
      <c r="F62" s="30"/>
      <c r="G62" s="32">
        <f>'Прилож №5'!H445</f>
        <v>11972.4</v>
      </c>
      <c r="H62" s="32">
        <f>'Прилож №5'!I445</f>
        <v>0</v>
      </c>
      <c r="I62" s="6"/>
    </row>
    <row r="63" spans="1:9" s="4" customFormat="1" ht="29.25">
      <c r="A63" s="127" t="s">
        <v>127</v>
      </c>
      <c r="B63" s="31" t="s">
        <v>156</v>
      </c>
      <c r="C63" s="31" t="s">
        <v>152</v>
      </c>
      <c r="D63" s="30" t="s">
        <v>128</v>
      </c>
      <c r="E63" s="31" t="s">
        <v>44</v>
      </c>
      <c r="F63" s="30"/>
      <c r="G63" s="32">
        <f>G64+G66</f>
        <v>4294.6</v>
      </c>
      <c r="H63" s="32">
        <f>H64+H66</f>
        <v>0</v>
      </c>
      <c r="I63" s="6"/>
    </row>
    <row r="64" spans="1:9" s="4" customFormat="1" ht="15.75">
      <c r="A64" s="125" t="s">
        <v>129</v>
      </c>
      <c r="B64" s="31" t="s">
        <v>156</v>
      </c>
      <c r="C64" s="31" t="s">
        <v>152</v>
      </c>
      <c r="D64" s="30" t="s">
        <v>130</v>
      </c>
      <c r="E64" s="31" t="s">
        <v>44</v>
      </c>
      <c r="F64" s="30"/>
      <c r="G64" s="32">
        <f>G65</f>
        <v>763.9000000000001</v>
      </c>
      <c r="H64" s="32">
        <f>H65</f>
        <v>0</v>
      </c>
      <c r="I64" s="6"/>
    </row>
    <row r="65" spans="1:9" s="4" customFormat="1" ht="32.25" customHeight="1">
      <c r="A65" s="127" t="s">
        <v>123</v>
      </c>
      <c r="B65" s="31" t="s">
        <v>156</v>
      </c>
      <c r="C65" s="31" t="s">
        <v>152</v>
      </c>
      <c r="D65" s="30" t="s">
        <v>130</v>
      </c>
      <c r="E65" s="31" t="s">
        <v>98</v>
      </c>
      <c r="F65" s="30"/>
      <c r="G65" s="32">
        <f>'Прилож №5'!H448</f>
        <v>763.9000000000001</v>
      </c>
      <c r="H65" s="32">
        <f>'Прилож №5'!I448</f>
        <v>0</v>
      </c>
      <c r="I65" s="6"/>
    </row>
    <row r="66" spans="1:9" s="4" customFormat="1" ht="29.25" customHeight="1">
      <c r="A66" s="127" t="s">
        <v>132</v>
      </c>
      <c r="B66" s="31" t="s">
        <v>156</v>
      </c>
      <c r="C66" s="31" t="s">
        <v>152</v>
      </c>
      <c r="D66" s="30" t="s">
        <v>131</v>
      </c>
      <c r="E66" s="31" t="s">
        <v>44</v>
      </c>
      <c r="F66" s="30"/>
      <c r="G66" s="32">
        <f>G67</f>
        <v>3530.7</v>
      </c>
      <c r="H66" s="32">
        <f>H67</f>
        <v>0</v>
      </c>
      <c r="I66" s="6"/>
    </row>
    <row r="67" spans="1:9" s="4" customFormat="1" ht="31.5" customHeight="1">
      <c r="A67" s="127" t="s">
        <v>123</v>
      </c>
      <c r="B67" s="31" t="s">
        <v>156</v>
      </c>
      <c r="C67" s="31" t="s">
        <v>152</v>
      </c>
      <c r="D67" s="30" t="s">
        <v>131</v>
      </c>
      <c r="E67" s="31" t="s">
        <v>98</v>
      </c>
      <c r="F67" s="30"/>
      <c r="G67" s="32">
        <f>'Прилож №5'!H450</f>
        <v>3530.7</v>
      </c>
      <c r="H67" s="32">
        <f>'Прилож №5'!I450</f>
        <v>0</v>
      </c>
      <c r="I67" s="6"/>
    </row>
    <row r="68" spans="1:9" s="4" customFormat="1" ht="17.25" customHeight="1">
      <c r="A68" s="125" t="s">
        <v>335</v>
      </c>
      <c r="B68" s="31" t="s">
        <v>156</v>
      </c>
      <c r="C68" s="31" t="s">
        <v>152</v>
      </c>
      <c r="D68" s="30" t="s">
        <v>331</v>
      </c>
      <c r="E68" s="31" t="s">
        <v>44</v>
      </c>
      <c r="F68" s="63"/>
      <c r="G68" s="32">
        <f>'Прилож №5'!H451</f>
        <v>100</v>
      </c>
      <c r="H68" s="32">
        <f>'Прилож №5'!I451</f>
        <v>0</v>
      </c>
      <c r="I68" s="6"/>
    </row>
    <row r="69" spans="1:9" s="4" customFormat="1" ht="17.25" customHeight="1">
      <c r="A69" s="127" t="s">
        <v>334</v>
      </c>
      <c r="B69" s="31" t="s">
        <v>156</v>
      </c>
      <c r="C69" s="31" t="s">
        <v>152</v>
      </c>
      <c r="D69" s="30" t="s">
        <v>332</v>
      </c>
      <c r="E69" s="31" t="s">
        <v>44</v>
      </c>
      <c r="F69" s="63"/>
      <c r="G69" s="32">
        <f>'Прилож №5'!H452</f>
        <v>100</v>
      </c>
      <c r="H69" s="32">
        <f>'Прилож №5'!I452</f>
        <v>0</v>
      </c>
      <c r="I69" s="6"/>
    </row>
    <row r="70" spans="1:9" s="4" customFormat="1" ht="31.5" customHeight="1">
      <c r="A70" s="127" t="s">
        <v>123</v>
      </c>
      <c r="B70" s="31" t="s">
        <v>156</v>
      </c>
      <c r="C70" s="31" t="s">
        <v>152</v>
      </c>
      <c r="D70" s="30" t="s">
        <v>333</v>
      </c>
      <c r="E70" s="31" t="s">
        <v>98</v>
      </c>
      <c r="F70" s="63" t="s">
        <v>98</v>
      </c>
      <c r="G70" s="32">
        <f>'Прилож №5'!H453</f>
        <v>100</v>
      </c>
      <c r="H70" s="32">
        <f>'Прилож №5'!I453</f>
        <v>0</v>
      </c>
      <c r="I70" s="6"/>
    </row>
    <row r="71" spans="1:9" s="4" customFormat="1" ht="29.25">
      <c r="A71" s="127" t="s">
        <v>83</v>
      </c>
      <c r="B71" s="31" t="s">
        <v>156</v>
      </c>
      <c r="C71" s="31" t="s">
        <v>152</v>
      </c>
      <c r="D71" s="30" t="s">
        <v>133</v>
      </c>
      <c r="E71" s="31" t="s">
        <v>44</v>
      </c>
      <c r="F71" s="30"/>
      <c r="G71" s="32">
        <f>G72</f>
        <v>400</v>
      </c>
      <c r="H71" s="32">
        <f>H72</f>
        <v>0</v>
      </c>
      <c r="I71" s="6"/>
    </row>
    <row r="72" spans="1:9" s="4" customFormat="1" ht="15.75">
      <c r="A72" s="126" t="s">
        <v>134</v>
      </c>
      <c r="B72" s="40" t="s">
        <v>156</v>
      </c>
      <c r="C72" s="40" t="s">
        <v>152</v>
      </c>
      <c r="D72" s="39" t="s">
        <v>133</v>
      </c>
      <c r="E72" s="40" t="s">
        <v>46</v>
      </c>
      <c r="F72" s="39"/>
      <c r="G72" s="41">
        <f>'Прилож №5'!H455</f>
        <v>400</v>
      </c>
      <c r="H72" s="41">
        <f>'Прилож №5'!I455</f>
        <v>0</v>
      </c>
      <c r="I72" s="6"/>
    </row>
    <row r="73" spans="1:9" s="4" customFormat="1" ht="38.25" customHeight="1">
      <c r="A73" s="76" t="s">
        <v>135</v>
      </c>
      <c r="B73" s="35" t="s">
        <v>156</v>
      </c>
      <c r="C73" s="35" t="s">
        <v>157</v>
      </c>
      <c r="D73" s="34" t="s">
        <v>42</v>
      </c>
      <c r="E73" s="35" t="s">
        <v>44</v>
      </c>
      <c r="F73" s="34"/>
      <c r="G73" s="36">
        <f>G76+G79</f>
        <v>4077</v>
      </c>
      <c r="H73" s="36">
        <f>H77+H74</f>
        <v>0</v>
      </c>
      <c r="I73" s="6"/>
    </row>
    <row r="74" spans="1:9" s="4" customFormat="1" ht="27" customHeight="1">
      <c r="A74" s="128" t="s">
        <v>108</v>
      </c>
      <c r="B74" s="54" t="s">
        <v>156</v>
      </c>
      <c r="C74" s="54" t="s">
        <v>157</v>
      </c>
      <c r="D74" s="53" t="s">
        <v>109</v>
      </c>
      <c r="E74" s="31" t="s">
        <v>44</v>
      </c>
      <c r="F74" s="53"/>
      <c r="G74" s="55">
        <f>G75</f>
        <v>1807</v>
      </c>
      <c r="H74" s="55">
        <f>H75</f>
        <v>0</v>
      </c>
      <c r="I74" s="6"/>
    </row>
    <row r="75" spans="1:9" s="4" customFormat="1" ht="27" customHeight="1">
      <c r="A75" s="128" t="s">
        <v>110</v>
      </c>
      <c r="B75" s="54" t="s">
        <v>156</v>
      </c>
      <c r="C75" s="54" t="s">
        <v>157</v>
      </c>
      <c r="D75" s="53" t="s">
        <v>136</v>
      </c>
      <c r="E75" s="31" t="s">
        <v>44</v>
      </c>
      <c r="F75" s="53"/>
      <c r="G75" s="55">
        <f>G76</f>
        <v>1807</v>
      </c>
      <c r="H75" s="55">
        <f>H76</f>
        <v>0</v>
      </c>
      <c r="I75" s="6"/>
    </row>
    <row r="76" spans="1:9" s="4" customFormat="1" ht="18" customHeight="1">
      <c r="A76" s="125" t="s">
        <v>115</v>
      </c>
      <c r="B76" s="31" t="s">
        <v>156</v>
      </c>
      <c r="C76" s="31" t="s">
        <v>157</v>
      </c>
      <c r="D76" s="30" t="s">
        <v>136</v>
      </c>
      <c r="E76" s="31" t="s">
        <v>203</v>
      </c>
      <c r="F76" s="30"/>
      <c r="G76" s="32">
        <f>'Прилож №5'!H47</f>
        <v>1807</v>
      </c>
      <c r="H76" s="32">
        <f>'Прилож №5'!I47</f>
        <v>0</v>
      </c>
      <c r="I76" s="6"/>
    </row>
    <row r="77" spans="1:9" s="4" customFormat="1" ht="15.75">
      <c r="A77" s="125" t="s">
        <v>19</v>
      </c>
      <c r="B77" s="31" t="s">
        <v>156</v>
      </c>
      <c r="C77" s="31" t="s">
        <v>157</v>
      </c>
      <c r="D77" s="30" t="s">
        <v>20</v>
      </c>
      <c r="E77" s="31" t="s">
        <v>44</v>
      </c>
      <c r="F77" s="30"/>
      <c r="G77" s="32">
        <f>G78</f>
        <v>2270</v>
      </c>
      <c r="H77" s="32">
        <f>H78</f>
        <v>0</v>
      </c>
      <c r="I77" s="6"/>
    </row>
    <row r="78" spans="1:9" s="4" customFormat="1" ht="29.25">
      <c r="A78" s="127" t="s">
        <v>91</v>
      </c>
      <c r="B78" s="40" t="s">
        <v>156</v>
      </c>
      <c r="C78" s="31" t="s">
        <v>157</v>
      </c>
      <c r="D78" s="30" t="s">
        <v>137</v>
      </c>
      <c r="E78" s="31" t="s">
        <v>44</v>
      </c>
      <c r="F78" s="30" t="s">
        <v>4</v>
      </c>
      <c r="G78" s="32">
        <f>G79</f>
        <v>2270</v>
      </c>
      <c r="H78" s="32">
        <f>H79</f>
        <v>0</v>
      </c>
      <c r="I78" s="6"/>
    </row>
    <row r="79" spans="1:9" s="4" customFormat="1" ht="15.75">
      <c r="A79" s="125" t="s">
        <v>115</v>
      </c>
      <c r="B79" s="40" t="s">
        <v>156</v>
      </c>
      <c r="C79" s="31" t="s">
        <v>157</v>
      </c>
      <c r="D79" s="30" t="s">
        <v>137</v>
      </c>
      <c r="E79" s="31" t="s">
        <v>203</v>
      </c>
      <c r="F79" s="30"/>
      <c r="G79" s="32">
        <f>'Прилож №5'!H50</f>
        <v>2270</v>
      </c>
      <c r="H79" s="32">
        <f>'Прилож №5'!I50</f>
        <v>0</v>
      </c>
      <c r="I79" s="6"/>
    </row>
    <row r="80" spans="1:9" s="4" customFormat="1" ht="30">
      <c r="A80" s="76" t="s">
        <v>84</v>
      </c>
      <c r="B80" s="35" t="s">
        <v>156</v>
      </c>
      <c r="C80" s="35" t="s">
        <v>155</v>
      </c>
      <c r="D80" s="34" t="s">
        <v>42</v>
      </c>
      <c r="E80" s="35" t="s">
        <v>44</v>
      </c>
      <c r="F80" s="34"/>
      <c r="G80" s="36">
        <f>G81+G86</f>
        <v>5798</v>
      </c>
      <c r="H80" s="36">
        <f>H81+H86</f>
        <v>0</v>
      </c>
      <c r="I80" s="6"/>
    </row>
    <row r="81" spans="1:9" s="4" customFormat="1" ht="51.75" customHeight="1">
      <c r="A81" s="134" t="s">
        <v>139</v>
      </c>
      <c r="B81" s="40" t="s">
        <v>156</v>
      </c>
      <c r="C81" s="31" t="s">
        <v>155</v>
      </c>
      <c r="D81" s="30" t="s">
        <v>66</v>
      </c>
      <c r="E81" s="31" t="s">
        <v>44</v>
      </c>
      <c r="F81" s="30"/>
      <c r="G81" s="32">
        <f>G82</f>
        <v>1722</v>
      </c>
      <c r="H81" s="32">
        <f>H82</f>
        <v>0</v>
      </c>
      <c r="I81" s="6"/>
    </row>
    <row r="82" spans="1:9" s="4" customFormat="1" ht="14.25" customHeight="1">
      <c r="A82" s="126" t="s">
        <v>25</v>
      </c>
      <c r="B82" s="40" t="s">
        <v>156</v>
      </c>
      <c r="C82" s="40" t="s">
        <v>155</v>
      </c>
      <c r="D82" s="39" t="s">
        <v>140</v>
      </c>
      <c r="E82" s="31" t="s">
        <v>44</v>
      </c>
      <c r="F82" s="39"/>
      <c r="G82" s="41">
        <f>G85+G83+G84</f>
        <v>1722</v>
      </c>
      <c r="H82" s="41">
        <f>H85</f>
        <v>0</v>
      </c>
      <c r="I82" s="6"/>
    </row>
    <row r="83" spans="1:9" s="4" customFormat="1" ht="14.25" customHeight="1">
      <c r="A83" s="126" t="s">
        <v>138</v>
      </c>
      <c r="B83" s="40" t="s">
        <v>156</v>
      </c>
      <c r="C83" s="40" t="s">
        <v>155</v>
      </c>
      <c r="D83" s="39" t="s">
        <v>140</v>
      </c>
      <c r="E83" s="40" t="s">
        <v>68</v>
      </c>
      <c r="F83" s="39"/>
      <c r="G83" s="41"/>
      <c r="H83" s="41"/>
      <c r="I83" s="6"/>
    </row>
    <row r="84" spans="1:9" s="4" customFormat="1" ht="14.25" customHeight="1">
      <c r="A84" s="125" t="s">
        <v>200</v>
      </c>
      <c r="B84" s="40" t="s">
        <v>156</v>
      </c>
      <c r="C84" s="40" t="s">
        <v>155</v>
      </c>
      <c r="D84" s="39" t="s">
        <v>140</v>
      </c>
      <c r="E84" s="40" t="s">
        <v>201</v>
      </c>
      <c r="F84" s="39"/>
      <c r="G84" s="41">
        <f>'Прилож №5'!H174</f>
        <v>754</v>
      </c>
      <c r="H84" s="41"/>
      <c r="I84" s="6"/>
    </row>
    <row r="85" spans="1:9" s="4" customFormat="1" ht="14.25" customHeight="1">
      <c r="A85" s="125" t="s">
        <v>115</v>
      </c>
      <c r="B85" s="40" t="s">
        <v>156</v>
      </c>
      <c r="C85" s="40" t="s">
        <v>155</v>
      </c>
      <c r="D85" s="39" t="s">
        <v>140</v>
      </c>
      <c r="E85" s="40" t="s">
        <v>203</v>
      </c>
      <c r="F85" s="39"/>
      <c r="G85" s="41">
        <f>'Прилож №5'!H54</f>
        <v>968</v>
      </c>
      <c r="H85" s="41">
        <f>'Прилож №5'!I54</f>
        <v>0</v>
      </c>
      <c r="I85" s="8"/>
    </row>
    <row r="86" spans="1:9" s="4" customFormat="1" ht="13.5" customHeight="1">
      <c r="A86" s="125" t="s">
        <v>100</v>
      </c>
      <c r="B86" s="31" t="s">
        <v>156</v>
      </c>
      <c r="C86" s="31" t="s">
        <v>155</v>
      </c>
      <c r="D86" s="30" t="s">
        <v>101</v>
      </c>
      <c r="E86" s="31" t="s">
        <v>44</v>
      </c>
      <c r="F86" s="30"/>
      <c r="G86" s="32">
        <f>G87+G91</f>
        <v>4076</v>
      </c>
      <c r="H86" s="32">
        <f>H87</f>
        <v>0</v>
      </c>
      <c r="I86" s="8"/>
    </row>
    <row r="87" spans="1:9" s="4" customFormat="1" ht="48.75" customHeight="1">
      <c r="A87" s="141" t="s">
        <v>286</v>
      </c>
      <c r="B87" s="31" t="s">
        <v>156</v>
      </c>
      <c r="C87" s="31" t="s">
        <v>155</v>
      </c>
      <c r="D87" s="30" t="s">
        <v>197</v>
      </c>
      <c r="E87" s="31" t="s">
        <v>44</v>
      </c>
      <c r="F87" s="30"/>
      <c r="G87" s="32">
        <f>G89+G90+G88</f>
        <v>3680.8</v>
      </c>
      <c r="H87" s="32">
        <f>H90</f>
        <v>0</v>
      </c>
      <c r="I87" s="8"/>
    </row>
    <row r="88" spans="1:9" s="4" customFormat="1" ht="22.5" customHeight="1">
      <c r="A88" s="126" t="s">
        <v>138</v>
      </c>
      <c r="B88" s="31" t="s">
        <v>156</v>
      </c>
      <c r="C88" s="31" t="s">
        <v>155</v>
      </c>
      <c r="D88" s="30" t="s">
        <v>197</v>
      </c>
      <c r="E88" s="31" t="s">
        <v>68</v>
      </c>
      <c r="F88" s="30"/>
      <c r="G88" s="32">
        <f>'Прилож №5'!H252</f>
        <v>50</v>
      </c>
      <c r="H88" s="32"/>
      <c r="I88" s="8"/>
    </row>
    <row r="89" spans="1:9" s="4" customFormat="1" ht="30.75" customHeight="1">
      <c r="A89" s="127" t="s">
        <v>123</v>
      </c>
      <c r="B89" s="31" t="s">
        <v>156</v>
      </c>
      <c r="C89" s="31" t="s">
        <v>155</v>
      </c>
      <c r="D89" s="30" t="s">
        <v>197</v>
      </c>
      <c r="E89" s="31" t="s">
        <v>98</v>
      </c>
      <c r="F89" s="30"/>
      <c r="G89" s="32">
        <f>'Прилож №5'!H459</f>
        <v>2096</v>
      </c>
      <c r="H89" s="32">
        <f>'Прилож №5'!I459</f>
        <v>0</v>
      </c>
      <c r="I89" s="8"/>
    </row>
    <row r="90" spans="1:9" s="4" customFormat="1" ht="15" customHeight="1">
      <c r="A90" s="125" t="s">
        <v>115</v>
      </c>
      <c r="B90" s="31" t="s">
        <v>156</v>
      </c>
      <c r="C90" s="31" t="s">
        <v>155</v>
      </c>
      <c r="D90" s="30" t="s">
        <v>197</v>
      </c>
      <c r="E90" s="31" t="s">
        <v>203</v>
      </c>
      <c r="F90" s="30"/>
      <c r="G90" s="32">
        <f>'Прилож №5'!H57+'Прилож №5'!H177</f>
        <v>1534.8000000000002</v>
      </c>
      <c r="H90" s="32">
        <f>'Прилож №5'!I57</f>
        <v>0</v>
      </c>
      <c r="I90" s="8"/>
    </row>
    <row r="91" spans="1:9" s="4" customFormat="1" ht="43.5" customHeight="1">
      <c r="A91" s="141" t="s">
        <v>287</v>
      </c>
      <c r="B91" s="31" t="s">
        <v>156</v>
      </c>
      <c r="C91" s="31" t="s">
        <v>155</v>
      </c>
      <c r="D91" s="30" t="s">
        <v>288</v>
      </c>
      <c r="E91" s="31" t="s">
        <v>44</v>
      </c>
      <c r="F91" s="30"/>
      <c r="G91" s="32">
        <f>G92</f>
        <v>395.2</v>
      </c>
      <c r="H91" s="32">
        <f>H92</f>
        <v>0</v>
      </c>
      <c r="I91" s="8"/>
    </row>
    <row r="92" spans="1:9" s="4" customFormat="1" ht="15" customHeight="1" thickBot="1">
      <c r="A92" s="129" t="s">
        <v>115</v>
      </c>
      <c r="B92" s="43" t="s">
        <v>156</v>
      </c>
      <c r="C92" s="31" t="s">
        <v>155</v>
      </c>
      <c r="D92" s="30" t="s">
        <v>288</v>
      </c>
      <c r="E92" s="40" t="s">
        <v>203</v>
      </c>
      <c r="F92" s="30"/>
      <c r="G92" s="32">
        <f>'Прилож №5'!H59+'Прилож №5'!H179</f>
        <v>395.2</v>
      </c>
      <c r="H92" s="32">
        <f>'Прилож №5'!I59+'Прилож №5'!I179</f>
        <v>0</v>
      </c>
      <c r="I92" s="8"/>
    </row>
    <row r="93" spans="1:9" s="4" customFormat="1" ht="16.5" thickBot="1">
      <c r="A93" s="56" t="s">
        <v>51</v>
      </c>
      <c r="B93" s="24" t="s">
        <v>153</v>
      </c>
      <c r="C93" s="24" t="s">
        <v>96</v>
      </c>
      <c r="D93" s="22" t="s">
        <v>42</v>
      </c>
      <c r="E93" s="24" t="s">
        <v>44</v>
      </c>
      <c r="F93" s="57"/>
      <c r="G93" s="25">
        <f>G94+G99+G104</f>
        <v>79778.9</v>
      </c>
      <c r="H93" s="25">
        <f>H94+H99+H104</f>
        <v>1831.1</v>
      </c>
      <c r="I93" s="6"/>
    </row>
    <row r="94" spans="1:9" s="2" customFormat="1" ht="15.75" customHeight="1">
      <c r="A94" s="58" t="s">
        <v>77</v>
      </c>
      <c r="B94" s="35" t="s">
        <v>153</v>
      </c>
      <c r="C94" s="93" t="s">
        <v>160</v>
      </c>
      <c r="D94" s="28" t="s">
        <v>42</v>
      </c>
      <c r="E94" s="64" t="s">
        <v>44</v>
      </c>
      <c r="F94" s="34"/>
      <c r="G94" s="36">
        <f>G95</f>
        <v>9476</v>
      </c>
      <c r="H94" s="36">
        <f>H95</f>
        <v>0</v>
      </c>
      <c r="I94" s="9"/>
    </row>
    <row r="95" spans="1:9" s="1" customFormat="1" ht="15.75" customHeight="1">
      <c r="A95" s="125" t="s">
        <v>141</v>
      </c>
      <c r="B95" s="31" t="s">
        <v>153</v>
      </c>
      <c r="C95" s="92" t="s">
        <v>160</v>
      </c>
      <c r="D95" s="31" t="s">
        <v>142</v>
      </c>
      <c r="E95" s="31" t="s">
        <v>44</v>
      </c>
      <c r="F95" s="30"/>
      <c r="G95" s="32">
        <f aca="true" t="shared" si="4" ref="G95:H97">G96</f>
        <v>9476</v>
      </c>
      <c r="H95" s="32">
        <f t="shared" si="4"/>
        <v>0</v>
      </c>
      <c r="I95" s="6"/>
    </row>
    <row r="96" spans="1:9" s="1" customFormat="1" ht="15.75" customHeight="1">
      <c r="A96" s="125" t="s">
        <v>143</v>
      </c>
      <c r="B96" s="31" t="s">
        <v>153</v>
      </c>
      <c r="C96" s="92" t="s">
        <v>160</v>
      </c>
      <c r="D96" s="31" t="s">
        <v>144</v>
      </c>
      <c r="E96" s="31" t="s">
        <v>44</v>
      </c>
      <c r="F96" s="30"/>
      <c r="G96" s="32">
        <f t="shared" si="4"/>
        <v>9476</v>
      </c>
      <c r="H96" s="32">
        <f t="shared" si="4"/>
        <v>0</v>
      </c>
      <c r="I96" s="6"/>
    </row>
    <row r="97" spans="1:9" s="1" customFormat="1" ht="49.5" customHeight="1">
      <c r="A97" s="127" t="s">
        <v>145</v>
      </c>
      <c r="B97" s="31" t="s">
        <v>153</v>
      </c>
      <c r="C97" s="92" t="s">
        <v>160</v>
      </c>
      <c r="D97" s="31" t="s">
        <v>146</v>
      </c>
      <c r="E97" s="31" t="s">
        <v>44</v>
      </c>
      <c r="F97" s="30"/>
      <c r="G97" s="32">
        <f t="shared" si="4"/>
        <v>9476</v>
      </c>
      <c r="H97" s="32">
        <f t="shared" si="4"/>
        <v>0</v>
      </c>
      <c r="I97" s="6"/>
    </row>
    <row r="98" spans="1:9" s="1" customFormat="1" ht="15.75" customHeight="1">
      <c r="A98" s="144" t="s">
        <v>115</v>
      </c>
      <c r="B98" s="31" t="s">
        <v>153</v>
      </c>
      <c r="C98" s="92" t="s">
        <v>160</v>
      </c>
      <c r="D98" s="31" t="s">
        <v>146</v>
      </c>
      <c r="E98" s="31" t="s">
        <v>203</v>
      </c>
      <c r="F98" s="30"/>
      <c r="G98" s="32">
        <f>'Прилож №5'!H65</f>
        <v>9476</v>
      </c>
      <c r="H98" s="32">
        <f>'Прилож №5'!I65</f>
        <v>0</v>
      </c>
      <c r="I98" s="6"/>
    </row>
    <row r="99" spans="1:9" s="2" customFormat="1" ht="15.75" customHeight="1">
      <c r="A99" s="17" t="s">
        <v>78</v>
      </c>
      <c r="B99" s="35" t="s">
        <v>153</v>
      </c>
      <c r="C99" s="93" t="s">
        <v>157</v>
      </c>
      <c r="D99" s="35" t="s">
        <v>42</v>
      </c>
      <c r="E99" s="35" t="s">
        <v>44</v>
      </c>
      <c r="F99" s="34"/>
      <c r="G99" s="36">
        <f>G100</f>
        <v>27933.2</v>
      </c>
      <c r="H99" s="36">
        <f>H100</f>
        <v>0</v>
      </c>
      <c r="I99" s="6"/>
    </row>
    <row r="100" spans="1:9" s="1" customFormat="1" ht="15.75" customHeight="1">
      <c r="A100" s="129" t="s">
        <v>78</v>
      </c>
      <c r="B100" s="31" t="s">
        <v>153</v>
      </c>
      <c r="C100" s="92" t="s">
        <v>157</v>
      </c>
      <c r="D100" s="31" t="s">
        <v>161</v>
      </c>
      <c r="E100" s="31" t="s">
        <v>44</v>
      </c>
      <c r="F100" s="30"/>
      <c r="G100" s="32">
        <f>G101</f>
        <v>27933.2</v>
      </c>
      <c r="H100" s="32">
        <f>H101</f>
        <v>0</v>
      </c>
      <c r="I100" s="6"/>
    </row>
    <row r="101" spans="1:9" s="1" customFormat="1" ht="15.75" customHeight="1">
      <c r="A101" s="129" t="s">
        <v>162</v>
      </c>
      <c r="B101" s="31" t="s">
        <v>153</v>
      </c>
      <c r="C101" s="92" t="s">
        <v>157</v>
      </c>
      <c r="D101" s="31" t="s">
        <v>163</v>
      </c>
      <c r="E101" s="31" t="s">
        <v>44</v>
      </c>
      <c r="F101" s="30"/>
      <c r="G101" s="32">
        <f>G102</f>
        <v>27933.2</v>
      </c>
      <c r="H101" s="32">
        <f>H103</f>
        <v>0</v>
      </c>
      <c r="I101" s="6"/>
    </row>
    <row r="102" spans="1:9" s="1" customFormat="1" ht="15.75" customHeight="1">
      <c r="A102" s="129" t="s">
        <v>218</v>
      </c>
      <c r="B102" s="31" t="s">
        <v>153</v>
      </c>
      <c r="C102" s="92" t="s">
        <v>157</v>
      </c>
      <c r="D102" s="31" t="s">
        <v>219</v>
      </c>
      <c r="E102" s="31" t="s">
        <v>44</v>
      </c>
      <c r="F102" s="30"/>
      <c r="G102" s="32">
        <f>G103</f>
        <v>27933.2</v>
      </c>
      <c r="H102" s="32">
        <f>H103</f>
        <v>0</v>
      </c>
      <c r="I102" s="6"/>
    </row>
    <row r="103" spans="1:9" s="1" customFormat="1" ht="15.75" customHeight="1">
      <c r="A103" s="144" t="s">
        <v>115</v>
      </c>
      <c r="B103" s="31" t="s">
        <v>153</v>
      </c>
      <c r="C103" s="92" t="s">
        <v>157</v>
      </c>
      <c r="D103" s="31" t="s">
        <v>219</v>
      </c>
      <c r="E103" s="31" t="s">
        <v>203</v>
      </c>
      <c r="F103" s="30"/>
      <c r="G103" s="32">
        <f>'Прилож №5'!H70</f>
        <v>27933.2</v>
      </c>
      <c r="H103" s="32">
        <f>'Прилож №5'!I70</f>
        <v>0</v>
      </c>
      <c r="I103" s="6"/>
    </row>
    <row r="104" spans="1:9" s="3" customFormat="1" ht="15.75">
      <c r="A104" s="17" t="s">
        <v>52</v>
      </c>
      <c r="B104" s="35" t="s">
        <v>153</v>
      </c>
      <c r="C104" s="93" t="s">
        <v>154</v>
      </c>
      <c r="D104" s="35" t="s">
        <v>42</v>
      </c>
      <c r="E104" s="35" t="s">
        <v>44</v>
      </c>
      <c r="F104" s="34"/>
      <c r="G104" s="36">
        <f>G110+G114+G105+G111</f>
        <v>42369.7</v>
      </c>
      <c r="H104" s="36">
        <f>H110+H114+H105+H111</f>
        <v>1831.1</v>
      </c>
      <c r="I104" s="6"/>
    </row>
    <row r="105" spans="1:9" s="3" customFormat="1" ht="29.25">
      <c r="A105" s="127" t="s">
        <v>81</v>
      </c>
      <c r="B105" s="54" t="s">
        <v>153</v>
      </c>
      <c r="C105" s="53" t="s">
        <v>154</v>
      </c>
      <c r="D105" s="31" t="s">
        <v>107</v>
      </c>
      <c r="E105" s="31" t="s">
        <v>44</v>
      </c>
      <c r="F105" s="105"/>
      <c r="G105" s="32">
        <f>G106</f>
        <v>35218.6</v>
      </c>
      <c r="H105" s="32">
        <f>H106</f>
        <v>0</v>
      </c>
      <c r="I105" s="6"/>
    </row>
    <row r="106" spans="1:9" s="3" customFormat="1" ht="15.75">
      <c r="A106" s="125" t="s">
        <v>25</v>
      </c>
      <c r="B106" s="54" t="s">
        <v>153</v>
      </c>
      <c r="C106" s="53" t="s">
        <v>154</v>
      </c>
      <c r="D106" s="31" t="s">
        <v>313</v>
      </c>
      <c r="E106" s="31" t="s">
        <v>44</v>
      </c>
      <c r="F106" s="115"/>
      <c r="G106" s="32">
        <f>G107</f>
        <v>35218.6</v>
      </c>
      <c r="H106" s="32">
        <f>H107</f>
        <v>0</v>
      </c>
      <c r="I106" s="6"/>
    </row>
    <row r="107" spans="1:9" s="3" customFormat="1" ht="15.75">
      <c r="A107" s="125" t="s">
        <v>200</v>
      </c>
      <c r="B107" s="54" t="s">
        <v>153</v>
      </c>
      <c r="C107" s="53" t="s">
        <v>154</v>
      </c>
      <c r="D107" s="31" t="s">
        <v>313</v>
      </c>
      <c r="E107" s="30" t="s">
        <v>201</v>
      </c>
      <c r="F107" s="115" t="s">
        <v>69</v>
      </c>
      <c r="G107" s="32">
        <f>'Прилож №5'!H74</f>
        <v>35218.6</v>
      </c>
      <c r="H107" s="32">
        <f>'Прилож №5'!I74</f>
        <v>0</v>
      </c>
      <c r="I107" s="6"/>
    </row>
    <row r="108" spans="1:9" s="4" customFormat="1" ht="29.25">
      <c r="A108" s="127" t="s">
        <v>86</v>
      </c>
      <c r="B108" s="31" t="s">
        <v>153</v>
      </c>
      <c r="C108" s="92" t="s">
        <v>154</v>
      </c>
      <c r="D108" s="31" t="s">
        <v>58</v>
      </c>
      <c r="E108" s="31" t="s">
        <v>44</v>
      </c>
      <c r="F108" s="30"/>
      <c r="G108" s="32">
        <f>G109</f>
        <v>3200</v>
      </c>
      <c r="H108" s="32">
        <f>H110</f>
        <v>0</v>
      </c>
      <c r="I108" s="6"/>
    </row>
    <row r="109" spans="1:9" s="4" customFormat="1" ht="15.75">
      <c r="A109" s="127" t="s">
        <v>240</v>
      </c>
      <c r="B109" s="31" t="s">
        <v>153</v>
      </c>
      <c r="C109" s="92" t="s">
        <v>154</v>
      </c>
      <c r="D109" s="31" t="s">
        <v>241</v>
      </c>
      <c r="E109" s="31" t="s">
        <v>44</v>
      </c>
      <c r="F109" s="39"/>
      <c r="G109" s="41">
        <f>G110</f>
        <v>3200</v>
      </c>
      <c r="H109" s="41"/>
      <c r="I109" s="6"/>
    </row>
    <row r="110" spans="1:9" s="4" customFormat="1" ht="15.75">
      <c r="A110" s="52" t="s">
        <v>115</v>
      </c>
      <c r="B110" s="31" t="s">
        <v>153</v>
      </c>
      <c r="C110" s="98" t="s">
        <v>154</v>
      </c>
      <c r="D110" s="40" t="s">
        <v>241</v>
      </c>
      <c r="E110" s="40" t="s">
        <v>203</v>
      </c>
      <c r="F110" s="39"/>
      <c r="G110" s="41">
        <f>'Прилож №5'!H77+'Прилож №5'!H415</f>
        <v>3200</v>
      </c>
      <c r="H110" s="41">
        <f>'Прилож №5'!I77</f>
        <v>0</v>
      </c>
      <c r="I110" s="6"/>
    </row>
    <row r="111" spans="1:9" s="4" customFormat="1" ht="15.75">
      <c r="A111" s="52" t="s">
        <v>363</v>
      </c>
      <c r="B111" s="54" t="s">
        <v>153</v>
      </c>
      <c r="C111" s="39" t="s">
        <v>154</v>
      </c>
      <c r="D111" s="40" t="s">
        <v>362</v>
      </c>
      <c r="E111" s="40" t="s">
        <v>44</v>
      </c>
      <c r="F111" s="47"/>
      <c r="G111" s="41">
        <f>G112+G113</f>
        <v>1831.1</v>
      </c>
      <c r="H111" s="41">
        <f>H112+H113</f>
        <v>1831.1</v>
      </c>
      <c r="I111" s="6"/>
    </row>
    <row r="112" spans="1:9" s="4" customFormat="1" ht="86.25">
      <c r="A112" s="237" t="s">
        <v>360</v>
      </c>
      <c r="B112" s="54" t="s">
        <v>153</v>
      </c>
      <c r="C112" s="39" t="s">
        <v>154</v>
      </c>
      <c r="D112" s="40" t="s">
        <v>361</v>
      </c>
      <c r="E112" s="40" t="s">
        <v>203</v>
      </c>
      <c r="F112" s="47"/>
      <c r="G112" s="41">
        <f>'Прилож №5'!H81</f>
        <v>631.1</v>
      </c>
      <c r="H112" s="41">
        <f>'Прилож №5'!I81</f>
        <v>631.1</v>
      </c>
      <c r="I112" s="6"/>
    </row>
    <row r="113" spans="1:9" s="4" customFormat="1" ht="15.75">
      <c r="A113" s="52" t="s">
        <v>250</v>
      </c>
      <c r="B113" s="54" t="s">
        <v>153</v>
      </c>
      <c r="C113" s="39" t="s">
        <v>154</v>
      </c>
      <c r="D113" s="40" t="s">
        <v>361</v>
      </c>
      <c r="E113" s="40" t="s">
        <v>69</v>
      </c>
      <c r="F113" s="47"/>
      <c r="G113" s="41">
        <f>'Прилож №5'!H80</f>
        <v>1200</v>
      </c>
      <c r="H113" s="41">
        <f>'Прилож №5'!I80</f>
        <v>1200</v>
      </c>
      <c r="I113" s="6"/>
    </row>
    <row r="114" spans="1:9" s="4" customFormat="1" ht="15.75">
      <c r="A114" s="144" t="s">
        <v>115</v>
      </c>
      <c r="B114" s="54" t="s">
        <v>153</v>
      </c>
      <c r="C114" s="39" t="s">
        <v>154</v>
      </c>
      <c r="D114" s="40" t="s">
        <v>101</v>
      </c>
      <c r="E114" s="31" t="s">
        <v>44</v>
      </c>
      <c r="F114" s="62"/>
      <c r="G114" s="41">
        <f>G115+G118</f>
        <v>2120</v>
      </c>
      <c r="H114" s="41">
        <f>H115+H118</f>
        <v>0</v>
      </c>
      <c r="I114" s="6"/>
    </row>
    <row r="115" spans="1:9" s="4" customFormat="1" ht="43.5">
      <c r="A115" s="131" t="s">
        <v>290</v>
      </c>
      <c r="B115" s="54" t="s">
        <v>153</v>
      </c>
      <c r="C115" s="39" t="s">
        <v>154</v>
      </c>
      <c r="D115" s="40" t="s">
        <v>289</v>
      </c>
      <c r="E115" s="31" t="s">
        <v>44</v>
      </c>
      <c r="F115" s="62"/>
      <c r="G115" s="41">
        <f>G116+G117</f>
        <v>1810</v>
      </c>
      <c r="H115" s="41">
        <f>H117</f>
        <v>0</v>
      </c>
      <c r="I115" s="6"/>
    </row>
    <row r="116" spans="1:9" s="4" customFormat="1" ht="15.75">
      <c r="A116" s="52" t="s">
        <v>250</v>
      </c>
      <c r="B116" s="54" t="s">
        <v>153</v>
      </c>
      <c r="C116" s="39" t="s">
        <v>154</v>
      </c>
      <c r="D116" s="40" t="s">
        <v>289</v>
      </c>
      <c r="E116" s="39" t="s">
        <v>69</v>
      </c>
      <c r="F116" s="62"/>
      <c r="G116" s="41">
        <f>'Прилож №5'!H84</f>
        <v>300</v>
      </c>
      <c r="H116" s="41"/>
      <c r="I116" s="6"/>
    </row>
    <row r="117" spans="1:9" s="4" customFormat="1" ht="15.75">
      <c r="A117" s="129" t="s">
        <v>115</v>
      </c>
      <c r="B117" s="54" t="s">
        <v>153</v>
      </c>
      <c r="C117" s="39" t="s">
        <v>154</v>
      </c>
      <c r="D117" s="40" t="s">
        <v>289</v>
      </c>
      <c r="E117" s="39" t="s">
        <v>203</v>
      </c>
      <c r="F117" s="62" t="s">
        <v>203</v>
      </c>
      <c r="G117" s="41">
        <f>'Прилож №5'!H85</f>
        <v>1510</v>
      </c>
      <c r="H117" s="41">
        <f>'Прилож №5'!I85</f>
        <v>0</v>
      </c>
      <c r="I117" s="6"/>
    </row>
    <row r="118" spans="1:9" s="4" customFormat="1" ht="29.25">
      <c r="A118" s="168" t="s">
        <v>356</v>
      </c>
      <c r="B118" s="40" t="s">
        <v>153</v>
      </c>
      <c r="C118" s="98" t="s">
        <v>154</v>
      </c>
      <c r="D118" s="31" t="s">
        <v>192</v>
      </c>
      <c r="E118" s="31" t="s">
        <v>44</v>
      </c>
      <c r="F118" s="59"/>
      <c r="G118" s="41">
        <f>G119</f>
        <v>310</v>
      </c>
      <c r="H118" s="41">
        <f>H119</f>
        <v>0</v>
      </c>
      <c r="I118" s="6"/>
    </row>
    <row r="119" spans="1:9" s="4" customFormat="1" ht="16.5" thickBot="1">
      <c r="A119" s="145" t="s">
        <v>115</v>
      </c>
      <c r="B119" s="31" t="s">
        <v>153</v>
      </c>
      <c r="C119" s="31" t="s">
        <v>154</v>
      </c>
      <c r="D119" s="53" t="s">
        <v>192</v>
      </c>
      <c r="E119" s="40" t="s">
        <v>203</v>
      </c>
      <c r="F119" s="59"/>
      <c r="G119" s="41">
        <f>'Прилож №5'!H87</f>
        <v>310</v>
      </c>
      <c r="H119" s="41">
        <f>'Прилож №5'!I87</f>
        <v>0</v>
      </c>
      <c r="I119" s="6"/>
    </row>
    <row r="120" spans="1:9" s="4" customFormat="1" ht="16.5" thickBot="1">
      <c r="A120" s="56" t="s">
        <v>21</v>
      </c>
      <c r="B120" s="24" t="s">
        <v>165</v>
      </c>
      <c r="C120" s="24" t="s">
        <v>96</v>
      </c>
      <c r="D120" s="22" t="s">
        <v>42</v>
      </c>
      <c r="E120" s="24" t="s">
        <v>44</v>
      </c>
      <c r="F120" s="57"/>
      <c r="G120" s="25">
        <f>G121+G144+G139</f>
        <v>254126</v>
      </c>
      <c r="H120" s="25">
        <f>H121+H144+H139</f>
        <v>60839.9</v>
      </c>
      <c r="I120" s="6"/>
    </row>
    <row r="121" spans="1:9" s="4" customFormat="1" ht="15.75">
      <c r="A121" s="60" t="s">
        <v>54</v>
      </c>
      <c r="B121" s="28" t="s">
        <v>165</v>
      </c>
      <c r="C121" s="28" t="s">
        <v>151</v>
      </c>
      <c r="D121" s="27" t="s">
        <v>42</v>
      </c>
      <c r="E121" s="28" t="s">
        <v>44</v>
      </c>
      <c r="F121" s="27"/>
      <c r="G121" s="29">
        <f>G129+G132+G122</f>
        <v>142310.7</v>
      </c>
      <c r="H121" s="29">
        <f>H129+H132+H122</f>
        <v>26288.9</v>
      </c>
      <c r="I121" s="6"/>
    </row>
    <row r="122" spans="1:9" s="4" customFormat="1" ht="29.25">
      <c r="A122" s="142" t="s">
        <v>330</v>
      </c>
      <c r="B122" s="54" t="s">
        <v>165</v>
      </c>
      <c r="C122" s="53" t="s">
        <v>151</v>
      </c>
      <c r="D122" s="102" t="s">
        <v>327</v>
      </c>
      <c r="E122" s="31" t="s">
        <v>44</v>
      </c>
      <c r="F122" s="62"/>
      <c r="G122" s="55">
        <f>'Прилож №5'!H90</f>
        <v>104181.20000000001</v>
      </c>
      <c r="H122" s="55">
        <f>'Прилож №5'!I90</f>
        <v>26288.9</v>
      </c>
      <c r="I122" s="6"/>
    </row>
    <row r="123" spans="1:9" s="4" customFormat="1" ht="72">
      <c r="A123" s="142" t="s">
        <v>394</v>
      </c>
      <c r="B123" s="54" t="s">
        <v>165</v>
      </c>
      <c r="C123" s="53" t="s">
        <v>151</v>
      </c>
      <c r="D123" s="54" t="s">
        <v>392</v>
      </c>
      <c r="E123" s="53" t="s">
        <v>44</v>
      </c>
      <c r="F123" s="74" t="s">
        <v>44</v>
      </c>
      <c r="G123" s="55">
        <f>G124</f>
        <v>67950.20000000001</v>
      </c>
      <c r="H123" s="55">
        <f>H124</f>
        <v>17525.9</v>
      </c>
      <c r="I123" s="6"/>
    </row>
    <row r="124" spans="1:9" s="4" customFormat="1" ht="57.75">
      <c r="A124" s="142" t="s">
        <v>393</v>
      </c>
      <c r="B124" s="54" t="s">
        <v>165</v>
      </c>
      <c r="C124" s="53" t="s">
        <v>151</v>
      </c>
      <c r="D124" s="54" t="s">
        <v>391</v>
      </c>
      <c r="E124" s="53" t="s">
        <v>44</v>
      </c>
      <c r="F124" s="74" t="s">
        <v>44</v>
      </c>
      <c r="G124" s="55">
        <f>G125</f>
        <v>67950.20000000001</v>
      </c>
      <c r="H124" s="55">
        <f>H125</f>
        <v>17525.9</v>
      </c>
      <c r="I124" s="6"/>
    </row>
    <row r="125" spans="1:9" s="4" customFormat="1" ht="15.75">
      <c r="A125" s="52" t="s">
        <v>250</v>
      </c>
      <c r="B125" s="54" t="s">
        <v>165</v>
      </c>
      <c r="C125" s="53" t="s">
        <v>151</v>
      </c>
      <c r="D125" s="54" t="s">
        <v>391</v>
      </c>
      <c r="E125" s="53" t="s">
        <v>69</v>
      </c>
      <c r="F125" s="74" t="s">
        <v>69</v>
      </c>
      <c r="G125" s="55">
        <f>'Прилож №5'!H93</f>
        <v>67950.20000000001</v>
      </c>
      <c r="H125" s="55">
        <f>'Прилож №5'!I93</f>
        <v>17525.9</v>
      </c>
      <c r="I125" s="6"/>
    </row>
    <row r="126" spans="1:9" s="4" customFormat="1" ht="29.25">
      <c r="A126" s="142" t="s">
        <v>338</v>
      </c>
      <c r="B126" s="54" t="s">
        <v>165</v>
      </c>
      <c r="C126" s="53" t="s">
        <v>151</v>
      </c>
      <c r="D126" s="102" t="s">
        <v>328</v>
      </c>
      <c r="E126" s="31" t="s">
        <v>44</v>
      </c>
      <c r="F126" s="62"/>
      <c r="G126" s="55">
        <f>'Прилож №5'!H94</f>
        <v>36231</v>
      </c>
      <c r="H126" s="55">
        <f>'Прилож №5'!I94</f>
        <v>8763</v>
      </c>
      <c r="I126" s="6"/>
    </row>
    <row r="127" spans="1:9" s="4" customFormat="1" ht="29.25">
      <c r="A127" s="142" t="s">
        <v>330</v>
      </c>
      <c r="B127" s="54" t="s">
        <v>165</v>
      </c>
      <c r="C127" s="53" t="s">
        <v>151</v>
      </c>
      <c r="D127" s="102" t="s">
        <v>329</v>
      </c>
      <c r="E127" s="31" t="s">
        <v>44</v>
      </c>
      <c r="F127" s="62"/>
      <c r="G127" s="55">
        <f>'Прилож №5'!H95</f>
        <v>36231</v>
      </c>
      <c r="H127" s="55">
        <f>'Прилож №5'!I95</f>
        <v>8763</v>
      </c>
      <c r="I127" s="6"/>
    </row>
    <row r="128" spans="1:9" s="4" customFormat="1" ht="15.75">
      <c r="A128" s="125" t="s">
        <v>250</v>
      </c>
      <c r="B128" s="54" t="s">
        <v>165</v>
      </c>
      <c r="C128" s="53" t="s">
        <v>151</v>
      </c>
      <c r="D128" s="102" t="s">
        <v>329</v>
      </c>
      <c r="E128" s="54" t="s">
        <v>69</v>
      </c>
      <c r="F128" s="62" t="s">
        <v>69</v>
      </c>
      <c r="G128" s="55">
        <f>'Прилож №5'!H96</f>
        <v>36231</v>
      </c>
      <c r="H128" s="55">
        <f>'Прилож №5'!I96</f>
        <v>8763</v>
      </c>
      <c r="I128" s="6"/>
    </row>
    <row r="129" spans="1:9" s="4" customFormat="1" ht="15.75">
      <c r="A129" s="125" t="s">
        <v>22</v>
      </c>
      <c r="B129" s="54" t="s">
        <v>165</v>
      </c>
      <c r="C129" s="54" t="s">
        <v>151</v>
      </c>
      <c r="D129" s="53" t="s">
        <v>23</v>
      </c>
      <c r="E129" s="31" t="s">
        <v>44</v>
      </c>
      <c r="F129" s="53"/>
      <c r="G129" s="55">
        <f>G130</f>
        <v>19579.5</v>
      </c>
      <c r="H129" s="55">
        <f>H130</f>
        <v>0</v>
      </c>
      <c r="I129" s="6"/>
    </row>
    <row r="130" spans="1:9" s="4" customFormat="1" ht="15.75">
      <c r="A130" s="129" t="s">
        <v>166</v>
      </c>
      <c r="B130" s="54" t="s">
        <v>165</v>
      </c>
      <c r="C130" s="54" t="s">
        <v>151</v>
      </c>
      <c r="D130" s="53" t="s">
        <v>167</v>
      </c>
      <c r="E130" s="31" t="s">
        <v>44</v>
      </c>
      <c r="F130" s="53"/>
      <c r="G130" s="55">
        <f>G131</f>
        <v>19579.5</v>
      </c>
      <c r="H130" s="55">
        <f>H131</f>
        <v>0</v>
      </c>
      <c r="I130" s="6"/>
    </row>
    <row r="131" spans="1:9" s="4" customFormat="1" ht="15.75">
      <c r="A131" s="129" t="s">
        <v>115</v>
      </c>
      <c r="B131" s="31" t="s">
        <v>165</v>
      </c>
      <c r="C131" s="54" t="s">
        <v>151</v>
      </c>
      <c r="D131" s="53" t="s">
        <v>167</v>
      </c>
      <c r="E131" s="54" t="s">
        <v>203</v>
      </c>
      <c r="F131" s="53"/>
      <c r="G131" s="55">
        <f>'Прилож №5'!H420+'Прилож №5'!H99</f>
        <v>19579.5</v>
      </c>
      <c r="H131" s="55">
        <f>'Прилож №5'!I420</f>
        <v>0</v>
      </c>
      <c r="I131" s="8"/>
    </row>
    <row r="132" spans="1:9" s="4" customFormat="1" ht="15.75">
      <c r="A132" s="125" t="s">
        <v>100</v>
      </c>
      <c r="B132" s="31" t="s">
        <v>165</v>
      </c>
      <c r="C132" s="54" t="s">
        <v>151</v>
      </c>
      <c r="D132" s="53" t="s">
        <v>101</v>
      </c>
      <c r="E132" s="31" t="s">
        <v>44</v>
      </c>
      <c r="F132" s="53"/>
      <c r="G132" s="55">
        <f>G134+G136+G137</f>
        <v>18550</v>
      </c>
      <c r="H132" s="55">
        <f>H134+H136</f>
        <v>0</v>
      </c>
      <c r="I132" s="6"/>
    </row>
    <row r="133" spans="1:9" s="4" customFormat="1" ht="51.75" customHeight="1">
      <c r="A133" s="128" t="s">
        <v>257</v>
      </c>
      <c r="B133" s="31" t="s">
        <v>165</v>
      </c>
      <c r="C133" s="54" t="s">
        <v>151</v>
      </c>
      <c r="D133" s="53" t="s">
        <v>211</v>
      </c>
      <c r="E133" s="31" t="s">
        <v>44</v>
      </c>
      <c r="F133" s="53"/>
      <c r="G133" s="55">
        <f>G134</f>
        <v>900</v>
      </c>
      <c r="H133" s="55">
        <f>H134</f>
        <v>0</v>
      </c>
      <c r="I133" s="6"/>
    </row>
    <row r="134" spans="1:9" s="4" customFormat="1" ht="15.75">
      <c r="A134" s="129" t="s">
        <v>115</v>
      </c>
      <c r="B134" s="31" t="s">
        <v>165</v>
      </c>
      <c r="C134" s="54" t="s">
        <v>151</v>
      </c>
      <c r="D134" s="53" t="s">
        <v>304</v>
      </c>
      <c r="E134" s="54" t="s">
        <v>203</v>
      </c>
      <c r="F134" s="53"/>
      <c r="G134" s="55">
        <f>'Прилож №5'!H102</f>
        <v>900</v>
      </c>
      <c r="H134" s="55">
        <f>'Прилож №5'!I102</f>
        <v>0</v>
      </c>
      <c r="I134" s="6"/>
    </row>
    <row r="135" spans="1:9" s="4" customFormat="1" ht="72">
      <c r="A135" s="128" t="s">
        <v>255</v>
      </c>
      <c r="B135" s="31" t="s">
        <v>165</v>
      </c>
      <c r="C135" s="54" t="s">
        <v>151</v>
      </c>
      <c r="D135" s="53" t="s">
        <v>292</v>
      </c>
      <c r="E135" s="31" t="s">
        <v>44</v>
      </c>
      <c r="F135" s="53"/>
      <c r="G135" s="55">
        <f>G136</f>
        <v>17050</v>
      </c>
      <c r="H135" s="55">
        <f>H136</f>
        <v>0</v>
      </c>
      <c r="I135" s="6"/>
    </row>
    <row r="136" spans="1:9" s="4" customFormat="1" ht="15.75">
      <c r="A136" s="129" t="s">
        <v>115</v>
      </c>
      <c r="B136" s="31" t="s">
        <v>165</v>
      </c>
      <c r="C136" s="54" t="s">
        <v>151</v>
      </c>
      <c r="D136" s="53" t="s">
        <v>292</v>
      </c>
      <c r="E136" s="54" t="s">
        <v>203</v>
      </c>
      <c r="F136" s="53"/>
      <c r="G136" s="55">
        <f>'Прилож №5'!H104</f>
        <v>17050</v>
      </c>
      <c r="H136" s="55">
        <f>'Прилож №5'!I104</f>
        <v>0</v>
      </c>
      <c r="I136" s="6"/>
    </row>
    <row r="137" spans="1:9" s="4" customFormat="1" ht="42.75">
      <c r="A137" s="170" t="s">
        <v>380</v>
      </c>
      <c r="B137" s="31" t="s">
        <v>165</v>
      </c>
      <c r="C137" s="30" t="s">
        <v>151</v>
      </c>
      <c r="D137" s="31" t="s">
        <v>358</v>
      </c>
      <c r="E137" s="30" t="s">
        <v>44</v>
      </c>
      <c r="F137" s="74" t="s">
        <v>44</v>
      </c>
      <c r="G137" s="55">
        <f>'Прилож №5'!H105</f>
        <v>600</v>
      </c>
      <c r="H137" s="55"/>
      <c r="I137" s="6"/>
    </row>
    <row r="138" spans="1:9" s="4" customFormat="1" ht="15.75">
      <c r="A138" s="52" t="s">
        <v>115</v>
      </c>
      <c r="B138" s="31" t="s">
        <v>165</v>
      </c>
      <c r="C138" s="30" t="s">
        <v>151</v>
      </c>
      <c r="D138" s="31" t="s">
        <v>358</v>
      </c>
      <c r="E138" s="30" t="s">
        <v>203</v>
      </c>
      <c r="F138" s="74" t="s">
        <v>203</v>
      </c>
      <c r="G138" s="55">
        <f>'Прилож №5'!H106</f>
        <v>600</v>
      </c>
      <c r="H138" s="55"/>
      <c r="I138" s="6"/>
    </row>
    <row r="139" spans="1:9" s="4" customFormat="1" ht="15.75">
      <c r="A139" s="17" t="s">
        <v>341</v>
      </c>
      <c r="B139" s="35" t="s">
        <v>165</v>
      </c>
      <c r="C139" s="64" t="s">
        <v>152</v>
      </c>
      <c r="D139" s="93" t="s">
        <v>42</v>
      </c>
      <c r="E139" s="35" t="s">
        <v>44</v>
      </c>
      <c r="F139" s="181" t="s">
        <v>44</v>
      </c>
      <c r="G139" s="66">
        <f aca="true" t="shared" si="5" ref="G139:H142">G140</f>
        <v>23009.699999999997</v>
      </c>
      <c r="H139" s="66">
        <f t="shared" si="5"/>
        <v>0</v>
      </c>
      <c r="I139" s="6"/>
    </row>
    <row r="140" spans="1:9" s="4" customFormat="1" ht="15.75">
      <c r="A140" s="125" t="s">
        <v>342</v>
      </c>
      <c r="B140" s="31" t="s">
        <v>165</v>
      </c>
      <c r="C140" s="54" t="s">
        <v>152</v>
      </c>
      <c r="D140" s="92" t="s">
        <v>339</v>
      </c>
      <c r="E140" s="31" t="s">
        <v>44</v>
      </c>
      <c r="F140" s="61" t="s">
        <v>44</v>
      </c>
      <c r="G140" s="55">
        <f t="shared" si="5"/>
        <v>23009.699999999997</v>
      </c>
      <c r="H140" s="55">
        <f t="shared" si="5"/>
        <v>0</v>
      </c>
      <c r="I140" s="6"/>
    </row>
    <row r="141" spans="1:9" s="4" customFormat="1" ht="15.75">
      <c r="A141" s="125" t="s">
        <v>343</v>
      </c>
      <c r="B141" s="31" t="s">
        <v>165</v>
      </c>
      <c r="C141" s="54" t="s">
        <v>152</v>
      </c>
      <c r="D141" s="92" t="s">
        <v>339</v>
      </c>
      <c r="E141" s="31" t="s">
        <v>44</v>
      </c>
      <c r="F141" s="61" t="s">
        <v>44</v>
      </c>
      <c r="G141" s="55">
        <f t="shared" si="5"/>
        <v>23009.699999999997</v>
      </c>
      <c r="H141" s="55">
        <f t="shared" si="5"/>
        <v>0</v>
      </c>
      <c r="I141" s="6"/>
    </row>
    <row r="142" spans="1:9" s="4" customFormat="1" ht="15.75">
      <c r="A142" s="134" t="s">
        <v>343</v>
      </c>
      <c r="B142" s="31" t="s">
        <v>165</v>
      </c>
      <c r="C142" s="54" t="s">
        <v>152</v>
      </c>
      <c r="D142" s="92" t="s">
        <v>340</v>
      </c>
      <c r="E142" s="31" t="s">
        <v>44</v>
      </c>
      <c r="F142" s="61" t="s">
        <v>44</v>
      </c>
      <c r="G142" s="55">
        <f t="shared" si="5"/>
        <v>23009.699999999997</v>
      </c>
      <c r="H142" s="55">
        <f t="shared" si="5"/>
        <v>0</v>
      </c>
      <c r="I142" s="6"/>
    </row>
    <row r="143" spans="1:9" s="4" customFormat="1" ht="15.75">
      <c r="A143" s="182" t="s">
        <v>115</v>
      </c>
      <c r="B143" s="31" t="s">
        <v>165</v>
      </c>
      <c r="C143" s="54" t="s">
        <v>152</v>
      </c>
      <c r="D143" s="92" t="s">
        <v>340</v>
      </c>
      <c r="E143" s="31" t="s">
        <v>203</v>
      </c>
      <c r="F143" s="61" t="s">
        <v>203</v>
      </c>
      <c r="G143" s="55">
        <f>'Прилож №5'!H111</f>
        <v>23009.699999999997</v>
      </c>
      <c r="H143" s="55">
        <f>'Прилож №5'!I111</f>
        <v>0</v>
      </c>
      <c r="I143" s="6"/>
    </row>
    <row r="144" spans="1:9" s="3" customFormat="1" ht="15.75">
      <c r="A144" s="37" t="s">
        <v>103</v>
      </c>
      <c r="B144" s="35" t="s">
        <v>165</v>
      </c>
      <c r="C144" s="35" t="s">
        <v>156</v>
      </c>
      <c r="D144" s="34" t="s">
        <v>42</v>
      </c>
      <c r="E144" s="35" t="s">
        <v>44</v>
      </c>
      <c r="F144" s="34"/>
      <c r="G144" s="36">
        <f>G145+G156</f>
        <v>88805.6</v>
      </c>
      <c r="H144" s="36">
        <f>H145+H156</f>
        <v>34551</v>
      </c>
      <c r="I144" s="6"/>
    </row>
    <row r="145" spans="1:9" s="4" customFormat="1" ht="15.75">
      <c r="A145" s="125" t="s">
        <v>103</v>
      </c>
      <c r="B145" s="31" t="s">
        <v>165</v>
      </c>
      <c r="C145" s="31" t="s">
        <v>156</v>
      </c>
      <c r="D145" s="39" t="s">
        <v>210</v>
      </c>
      <c r="E145" s="31" t="s">
        <v>44</v>
      </c>
      <c r="F145" s="30"/>
      <c r="G145" s="32">
        <f>G147+G151+G153+G155+G149</f>
        <v>78478.1</v>
      </c>
      <c r="H145" s="32">
        <f>H147+H151+H153+H155+H149</f>
        <v>34551</v>
      </c>
      <c r="I145" s="6"/>
    </row>
    <row r="146" spans="1:9" s="4" customFormat="1" ht="15.75">
      <c r="A146" s="125" t="s">
        <v>220</v>
      </c>
      <c r="B146" s="31" t="s">
        <v>165</v>
      </c>
      <c r="C146" s="31" t="s">
        <v>156</v>
      </c>
      <c r="D146" s="39" t="s">
        <v>221</v>
      </c>
      <c r="E146" s="31" t="s">
        <v>44</v>
      </c>
      <c r="F146" s="30"/>
      <c r="G146" s="32">
        <f>G147</f>
        <v>14311.2</v>
      </c>
      <c r="H146" s="32">
        <f>H147</f>
        <v>0</v>
      </c>
      <c r="I146" s="6"/>
    </row>
    <row r="147" spans="1:9" s="4" customFormat="1" ht="15.75">
      <c r="A147" s="129" t="s">
        <v>115</v>
      </c>
      <c r="B147" s="31" t="s">
        <v>165</v>
      </c>
      <c r="C147" s="31" t="s">
        <v>156</v>
      </c>
      <c r="D147" s="39" t="s">
        <v>221</v>
      </c>
      <c r="E147" s="31" t="s">
        <v>203</v>
      </c>
      <c r="F147" s="30"/>
      <c r="G147" s="32">
        <f>'Прилож №5'!H115</f>
        <v>14311.2</v>
      </c>
      <c r="H147" s="32">
        <f>'Прилож №5'!I115</f>
        <v>0</v>
      </c>
      <c r="I147" s="6"/>
    </row>
    <row r="148" spans="1:9" s="4" customFormat="1" ht="43.5">
      <c r="A148" s="180" t="s">
        <v>0</v>
      </c>
      <c r="B148" s="31" t="s">
        <v>165</v>
      </c>
      <c r="C148" s="30" t="s">
        <v>156</v>
      </c>
      <c r="D148" s="98" t="s">
        <v>336</v>
      </c>
      <c r="E148" s="31" t="s">
        <v>44</v>
      </c>
      <c r="F148" s="61" t="s">
        <v>44</v>
      </c>
      <c r="G148" s="32">
        <f>G149</f>
        <v>300</v>
      </c>
      <c r="H148" s="32">
        <f>H149</f>
        <v>0</v>
      </c>
      <c r="I148" s="6"/>
    </row>
    <row r="149" spans="1:9" s="4" customFormat="1" ht="15.75">
      <c r="A149" s="144" t="s">
        <v>115</v>
      </c>
      <c r="B149" s="31" t="s">
        <v>165</v>
      </c>
      <c r="C149" s="30" t="s">
        <v>156</v>
      </c>
      <c r="D149" s="98" t="s">
        <v>336</v>
      </c>
      <c r="E149" s="31" t="s">
        <v>203</v>
      </c>
      <c r="F149" s="61" t="s">
        <v>203</v>
      </c>
      <c r="G149" s="32">
        <f>'Прилож №5'!H117</f>
        <v>300</v>
      </c>
      <c r="H149" s="32">
        <f>'Прилож №5'!I117</f>
        <v>0</v>
      </c>
      <c r="I149" s="6"/>
    </row>
    <row r="150" spans="1:9" s="4" customFormat="1" ht="15.75">
      <c r="A150" s="125" t="s">
        <v>106</v>
      </c>
      <c r="B150" s="31" t="s">
        <v>165</v>
      </c>
      <c r="C150" s="31" t="s">
        <v>156</v>
      </c>
      <c r="D150" s="39" t="s">
        <v>222</v>
      </c>
      <c r="E150" s="31" t="s">
        <v>44</v>
      </c>
      <c r="F150" s="30"/>
      <c r="G150" s="32">
        <f>G151</f>
        <v>4700</v>
      </c>
      <c r="H150" s="32">
        <f>H151</f>
        <v>0</v>
      </c>
      <c r="I150" s="6"/>
    </row>
    <row r="151" spans="1:9" s="4" customFormat="1" ht="15.75">
      <c r="A151" s="129" t="s">
        <v>115</v>
      </c>
      <c r="B151" s="31" t="s">
        <v>165</v>
      </c>
      <c r="C151" s="31" t="s">
        <v>156</v>
      </c>
      <c r="D151" s="39" t="s">
        <v>222</v>
      </c>
      <c r="E151" s="31" t="s">
        <v>203</v>
      </c>
      <c r="F151" s="30"/>
      <c r="G151" s="32">
        <f>'Прилож №5'!H119+'Прилож №5'!H382</f>
        <v>4700</v>
      </c>
      <c r="H151" s="32">
        <f>H152</f>
        <v>0</v>
      </c>
      <c r="I151" s="6"/>
    </row>
    <row r="152" spans="1:9" s="4" customFormat="1" ht="15.75">
      <c r="A152" s="125" t="s">
        <v>114</v>
      </c>
      <c r="B152" s="31" t="s">
        <v>165</v>
      </c>
      <c r="C152" s="31" t="s">
        <v>156</v>
      </c>
      <c r="D152" s="39" t="s">
        <v>223</v>
      </c>
      <c r="E152" s="31" t="s">
        <v>44</v>
      </c>
      <c r="F152" s="30"/>
      <c r="G152" s="32">
        <f>G153</f>
        <v>701.8</v>
      </c>
      <c r="H152" s="32">
        <f>H153</f>
        <v>0</v>
      </c>
      <c r="I152" s="6"/>
    </row>
    <row r="153" spans="1:9" s="4" customFormat="1" ht="15.75">
      <c r="A153" s="129" t="s">
        <v>115</v>
      </c>
      <c r="B153" s="31" t="s">
        <v>165</v>
      </c>
      <c r="C153" s="31" t="s">
        <v>156</v>
      </c>
      <c r="D153" s="39" t="s">
        <v>223</v>
      </c>
      <c r="E153" s="31" t="s">
        <v>203</v>
      </c>
      <c r="F153" s="30" t="s">
        <v>104</v>
      </c>
      <c r="G153" s="32">
        <f>'Прилож №5'!H121</f>
        <v>701.8</v>
      </c>
      <c r="H153" s="32">
        <f>'Прилож №5'!I121</f>
        <v>0</v>
      </c>
      <c r="I153" s="6"/>
    </row>
    <row r="154" spans="1:9" s="4" customFormat="1" ht="17.25" customHeight="1">
      <c r="A154" s="125" t="s">
        <v>224</v>
      </c>
      <c r="B154" s="40" t="s">
        <v>165</v>
      </c>
      <c r="C154" s="40" t="s">
        <v>156</v>
      </c>
      <c r="D154" s="39" t="s">
        <v>225</v>
      </c>
      <c r="E154" s="31" t="s">
        <v>44</v>
      </c>
      <c r="F154" s="39" t="s">
        <v>105</v>
      </c>
      <c r="G154" s="41">
        <f>G155</f>
        <v>58465.100000000006</v>
      </c>
      <c r="H154" s="41">
        <f>H155</f>
        <v>34551</v>
      </c>
      <c r="I154" s="6"/>
    </row>
    <row r="155" spans="1:9" s="4" customFormat="1" ht="17.25" customHeight="1">
      <c r="A155" s="129" t="s">
        <v>115</v>
      </c>
      <c r="B155" s="31" t="s">
        <v>165</v>
      </c>
      <c r="C155" s="31" t="s">
        <v>156</v>
      </c>
      <c r="D155" s="39" t="s">
        <v>225</v>
      </c>
      <c r="E155" s="31" t="s">
        <v>203</v>
      </c>
      <c r="F155" s="30"/>
      <c r="G155" s="32">
        <f>'Прилож №5'!H385+'Прилож №5'!H123</f>
        <v>58465.100000000006</v>
      </c>
      <c r="H155" s="32">
        <f>'Прилож №5'!I385+'Прилож №5'!I123</f>
        <v>34551</v>
      </c>
      <c r="I155" s="6"/>
    </row>
    <row r="156" spans="1:9" s="4" customFormat="1" ht="19.5" customHeight="1">
      <c r="A156" s="127" t="s">
        <v>100</v>
      </c>
      <c r="B156" s="31" t="s">
        <v>165</v>
      </c>
      <c r="C156" s="31" t="s">
        <v>156</v>
      </c>
      <c r="D156" s="30" t="s">
        <v>101</v>
      </c>
      <c r="E156" s="31" t="s">
        <v>44</v>
      </c>
      <c r="F156" s="30"/>
      <c r="G156" s="32">
        <f>G157</f>
        <v>10327.5</v>
      </c>
      <c r="H156" s="32">
        <f>H157</f>
        <v>0</v>
      </c>
      <c r="I156" s="6"/>
    </row>
    <row r="157" spans="1:9" s="4" customFormat="1" ht="47.25" customHeight="1">
      <c r="A157" s="133" t="s">
        <v>312</v>
      </c>
      <c r="B157" s="31" t="s">
        <v>165</v>
      </c>
      <c r="C157" s="31" t="s">
        <v>156</v>
      </c>
      <c r="D157" s="30" t="s">
        <v>293</v>
      </c>
      <c r="E157" s="31" t="s">
        <v>44</v>
      </c>
      <c r="F157" s="30"/>
      <c r="G157" s="32">
        <f>G158</f>
        <v>10327.5</v>
      </c>
      <c r="H157" s="32">
        <f>H158</f>
        <v>0</v>
      </c>
      <c r="I157" s="6"/>
    </row>
    <row r="158" spans="1:9" s="4" customFormat="1" ht="17.25" customHeight="1" thickBot="1">
      <c r="A158" s="135" t="s">
        <v>115</v>
      </c>
      <c r="B158" s="40" t="s">
        <v>165</v>
      </c>
      <c r="C158" s="40" t="s">
        <v>156</v>
      </c>
      <c r="D158" s="39" t="s">
        <v>293</v>
      </c>
      <c r="E158" s="43" t="s">
        <v>203</v>
      </c>
      <c r="F158" s="39"/>
      <c r="G158" s="41">
        <f>'Прилож №5'!H126</f>
        <v>10327.5</v>
      </c>
      <c r="H158" s="41">
        <f>'Прилож №5'!I126</f>
        <v>0</v>
      </c>
      <c r="I158" s="6"/>
    </row>
    <row r="159" spans="1:9" s="4" customFormat="1" ht="16.5" thickBot="1">
      <c r="A159" s="56" t="s">
        <v>39</v>
      </c>
      <c r="B159" s="24" t="s">
        <v>170</v>
      </c>
      <c r="C159" s="24" t="s">
        <v>96</v>
      </c>
      <c r="D159" s="22" t="s">
        <v>42</v>
      </c>
      <c r="E159" s="24" t="s">
        <v>44</v>
      </c>
      <c r="F159" s="57"/>
      <c r="G159" s="25">
        <f aca="true" t="shared" si="6" ref="G159:H162">G160</f>
        <v>2612.6</v>
      </c>
      <c r="H159" s="25">
        <f t="shared" si="6"/>
        <v>0</v>
      </c>
      <c r="I159" s="6"/>
    </row>
    <row r="160" spans="1:9" s="4" customFormat="1" ht="15.75">
      <c r="A160" s="17" t="s">
        <v>40</v>
      </c>
      <c r="B160" s="64" t="s">
        <v>170</v>
      </c>
      <c r="C160" s="64" t="s">
        <v>165</v>
      </c>
      <c r="D160" s="38" t="s">
        <v>42</v>
      </c>
      <c r="E160" s="64" t="s">
        <v>44</v>
      </c>
      <c r="F160" s="65"/>
      <c r="G160" s="66">
        <f t="shared" si="6"/>
        <v>2612.6</v>
      </c>
      <c r="H160" s="66">
        <f t="shared" si="6"/>
        <v>0</v>
      </c>
      <c r="I160" s="6"/>
    </row>
    <row r="161" spans="1:9" s="4" customFormat="1" ht="15.75">
      <c r="A161" s="125" t="s">
        <v>100</v>
      </c>
      <c r="B161" s="54" t="s">
        <v>170</v>
      </c>
      <c r="C161" s="54" t="s">
        <v>165</v>
      </c>
      <c r="D161" s="53" t="s">
        <v>101</v>
      </c>
      <c r="E161" s="31" t="s">
        <v>44</v>
      </c>
      <c r="F161" s="67"/>
      <c r="G161" s="55">
        <f t="shared" si="6"/>
        <v>2612.6</v>
      </c>
      <c r="H161" s="55">
        <f t="shared" si="6"/>
        <v>0</v>
      </c>
      <c r="I161" s="6"/>
    </row>
    <row r="162" spans="1:9" s="4" customFormat="1" ht="34.5" customHeight="1">
      <c r="A162" s="127" t="s">
        <v>243</v>
      </c>
      <c r="B162" s="54" t="s">
        <v>170</v>
      </c>
      <c r="C162" s="54" t="s">
        <v>165</v>
      </c>
      <c r="D162" s="53" t="s">
        <v>196</v>
      </c>
      <c r="E162" s="31" t="s">
        <v>44</v>
      </c>
      <c r="F162" s="67"/>
      <c r="G162" s="55">
        <f t="shared" si="6"/>
        <v>2612.6</v>
      </c>
      <c r="H162" s="55">
        <f t="shared" si="6"/>
        <v>0</v>
      </c>
      <c r="I162" s="6"/>
    </row>
    <row r="163" spans="1:9" s="4" customFormat="1" ht="16.5" thickBot="1">
      <c r="A163" s="135" t="s">
        <v>115</v>
      </c>
      <c r="B163" s="54" t="s">
        <v>170</v>
      </c>
      <c r="C163" s="54" t="s">
        <v>165</v>
      </c>
      <c r="D163" s="53" t="s">
        <v>196</v>
      </c>
      <c r="E163" s="68" t="s">
        <v>203</v>
      </c>
      <c r="F163" s="67"/>
      <c r="G163" s="55">
        <f>'Прилож №5'!H131+'Прилож №5'!H389+'Прилож №5'!H184</f>
        <v>2612.6</v>
      </c>
      <c r="H163" s="55">
        <f>'Прилож №5'!I131</f>
        <v>0</v>
      </c>
      <c r="I163" s="6"/>
    </row>
    <row r="164" spans="1:9" s="4" customFormat="1" ht="16.5" thickBot="1">
      <c r="A164" s="56" t="s">
        <v>6</v>
      </c>
      <c r="B164" s="24" t="s">
        <v>159</v>
      </c>
      <c r="C164" s="24" t="s">
        <v>96</v>
      </c>
      <c r="D164" s="22" t="s">
        <v>42</v>
      </c>
      <c r="E164" s="24" t="s">
        <v>44</v>
      </c>
      <c r="F164" s="57"/>
      <c r="G164" s="25">
        <f>G165+G178+G203+G216</f>
        <v>856137.7999999999</v>
      </c>
      <c r="H164" s="25">
        <f>H165+H178+H203+H216</f>
        <v>324569.8</v>
      </c>
      <c r="I164" s="6"/>
    </row>
    <row r="165" spans="1:9" s="4" customFormat="1" ht="15.75">
      <c r="A165" s="17" t="s">
        <v>7</v>
      </c>
      <c r="B165" s="28" t="s">
        <v>159</v>
      </c>
      <c r="C165" s="28" t="s">
        <v>151</v>
      </c>
      <c r="D165" s="27" t="s">
        <v>42</v>
      </c>
      <c r="E165" s="28" t="s">
        <v>44</v>
      </c>
      <c r="F165" s="27"/>
      <c r="G165" s="29">
        <f>G166+G173</f>
        <v>312225.9</v>
      </c>
      <c r="H165" s="29">
        <f>H166+H173</f>
        <v>16843</v>
      </c>
      <c r="I165" s="6"/>
    </row>
    <row r="166" spans="1:9" s="4" customFormat="1" ht="15.75">
      <c r="A166" s="125" t="s">
        <v>8</v>
      </c>
      <c r="B166" s="40" t="s">
        <v>159</v>
      </c>
      <c r="C166" s="31" t="s">
        <v>151</v>
      </c>
      <c r="D166" s="30" t="s">
        <v>24</v>
      </c>
      <c r="E166" s="31" t="s">
        <v>44</v>
      </c>
      <c r="F166" s="30"/>
      <c r="G166" s="32">
        <f>G167</f>
        <v>300225.9</v>
      </c>
      <c r="H166" s="32">
        <f>H167</f>
        <v>4843</v>
      </c>
      <c r="I166" s="6"/>
    </row>
    <row r="167" spans="1:9" s="4" customFormat="1" ht="15.75">
      <c r="A167" s="126" t="s">
        <v>25</v>
      </c>
      <c r="B167" s="40" t="s">
        <v>159</v>
      </c>
      <c r="C167" s="40" t="s">
        <v>151</v>
      </c>
      <c r="D167" s="39" t="s">
        <v>172</v>
      </c>
      <c r="E167" s="31" t="s">
        <v>44</v>
      </c>
      <c r="F167" s="39"/>
      <c r="G167" s="32">
        <f>G168+G169+G170</f>
        <v>300225.9</v>
      </c>
      <c r="H167" s="32">
        <f>H168+H169+H170</f>
        <v>4843</v>
      </c>
      <c r="I167" s="6"/>
    </row>
    <row r="168" spans="1:9" s="4" customFormat="1" ht="15.75">
      <c r="A168" s="126" t="s">
        <v>138</v>
      </c>
      <c r="B168" s="40" t="s">
        <v>159</v>
      </c>
      <c r="C168" s="40" t="s">
        <v>151</v>
      </c>
      <c r="D168" s="39" t="s">
        <v>172</v>
      </c>
      <c r="E168" s="40" t="s">
        <v>68</v>
      </c>
      <c r="F168" s="39"/>
      <c r="G168" s="32">
        <f>'Прилож №5'!H189</f>
        <v>171688.2</v>
      </c>
      <c r="H168" s="32">
        <f>'Прилож №5'!I189</f>
        <v>477.5</v>
      </c>
      <c r="I168" s="6"/>
    </row>
    <row r="169" spans="1:9" s="4" customFormat="1" ht="15.75">
      <c r="A169" s="52" t="s">
        <v>200</v>
      </c>
      <c r="B169" s="40" t="s">
        <v>159</v>
      </c>
      <c r="C169" s="40" t="s">
        <v>151</v>
      </c>
      <c r="D169" s="39" t="s">
        <v>172</v>
      </c>
      <c r="E169" s="31" t="s">
        <v>201</v>
      </c>
      <c r="F169" s="39"/>
      <c r="G169" s="32">
        <f>'Прилож №5'!H190</f>
        <v>125641.7</v>
      </c>
      <c r="H169" s="32">
        <f>'Прилож №5'!I190</f>
        <v>1469.5</v>
      </c>
      <c r="I169" s="6"/>
    </row>
    <row r="170" spans="1:9" s="4" customFormat="1" ht="43.5">
      <c r="A170" s="217" t="s">
        <v>416</v>
      </c>
      <c r="B170" s="40" t="s">
        <v>159</v>
      </c>
      <c r="C170" s="40" t="s">
        <v>151</v>
      </c>
      <c r="D170" s="39" t="s">
        <v>415</v>
      </c>
      <c r="E170" s="54" t="s">
        <v>44</v>
      </c>
      <c r="F170" s="47"/>
      <c r="G170" s="32">
        <f>G171+G172</f>
        <v>2896</v>
      </c>
      <c r="H170" s="32">
        <f>H171+H172</f>
        <v>2896</v>
      </c>
      <c r="I170" s="6"/>
    </row>
    <row r="171" spans="1:9" s="4" customFormat="1" ht="15.75">
      <c r="A171" s="189" t="s">
        <v>138</v>
      </c>
      <c r="B171" s="40" t="s">
        <v>159</v>
      </c>
      <c r="C171" s="40" t="s">
        <v>151</v>
      </c>
      <c r="D171" s="39" t="s">
        <v>415</v>
      </c>
      <c r="E171" s="54" t="s">
        <v>68</v>
      </c>
      <c r="F171" s="47"/>
      <c r="G171" s="32">
        <f>'Прилож №5'!H192</f>
        <v>840.2</v>
      </c>
      <c r="H171" s="32">
        <f>'Прилож №5'!I192</f>
        <v>840.2</v>
      </c>
      <c r="I171" s="6"/>
    </row>
    <row r="172" spans="1:9" s="4" customFormat="1" ht="15.75">
      <c r="A172" s="52" t="s">
        <v>200</v>
      </c>
      <c r="B172" s="40" t="s">
        <v>159</v>
      </c>
      <c r="C172" s="40" t="s">
        <v>151</v>
      </c>
      <c r="D172" s="39" t="s">
        <v>415</v>
      </c>
      <c r="E172" s="54" t="s">
        <v>201</v>
      </c>
      <c r="F172" s="47"/>
      <c r="G172" s="32">
        <f>'Прилож №5'!H193</f>
        <v>2055.8</v>
      </c>
      <c r="H172" s="32">
        <f>'Прилож №5'!I193</f>
        <v>2055.8</v>
      </c>
      <c r="I172" s="6"/>
    </row>
    <row r="173" spans="1:9" s="4" customFormat="1" ht="15.75">
      <c r="A173" s="189" t="s">
        <v>363</v>
      </c>
      <c r="B173" s="40" t="s">
        <v>159</v>
      </c>
      <c r="C173" s="40" t="s">
        <v>151</v>
      </c>
      <c r="D173" s="197" t="s">
        <v>362</v>
      </c>
      <c r="E173" s="243" t="s">
        <v>44</v>
      </c>
      <c r="F173" s="225" t="s">
        <v>44</v>
      </c>
      <c r="G173" s="32">
        <f>G174</f>
        <v>12000</v>
      </c>
      <c r="H173" s="32">
        <f>H174</f>
        <v>12000</v>
      </c>
      <c r="I173" s="6"/>
    </row>
    <row r="174" spans="1:9" s="4" customFormat="1" ht="32.25" customHeight="1">
      <c r="A174" s="217" t="s">
        <v>372</v>
      </c>
      <c r="B174" s="40" t="s">
        <v>159</v>
      </c>
      <c r="C174" s="40" t="s">
        <v>151</v>
      </c>
      <c r="D174" s="197" t="s">
        <v>371</v>
      </c>
      <c r="E174" s="243" t="s">
        <v>44</v>
      </c>
      <c r="F174" s="225" t="s">
        <v>44</v>
      </c>
      <c r="G174" s="32">
        <f>G175</f>
        <v>12000</v>
      </c>
      <c r="H174" s="32">
        <f>H175</f>
        <v>12000</v>
      </c>
      <c r="I174" s="6"/>
    </row>
    <row r="175" spans="1:9" s="4" customFormat="1" ht="72">
      <c r="A175" s="168" t="s">
        <v>441</v>
      </c>
      <c r="B175" s="40" t="s">
        <v>159</v>
      </c>
      <c r="C175" s="40" t="s">
        <v>151</v>
      </c>
      <c r="D175" s="197" t="s">
        <v>402</v>
      </c>
      <c r="E175" s="243" t="s">
        <v>44</v>
      </c>
      <c r="F175" s="225" t="s">
        <v>44</v>
      </c>
      <c r="G175" s="32">
        <f>G176+G177</f>
        <v>12000</v>
      </c>
      <c r="H175" s="32">
        <f>H176+H177</f>
        <v>12000</v>
      </c>
      <c r="I175" s="6"/>
    </row>
    <row r="176" spans="1:9" s="4" customFormat="1" ht="15.75">
      <c r="A176" s="196" t="s">
        <v>138</v>
      </c>
      <c r="B176" s="40" t="s">
        <v>159</v>
      </c>
      <c r="C176" s="40" t="s">
        <v>151</v>
      </c>
      <c r="D176" s="197" t="s">
        <v>402</v>
      </c>
      <c r="E176" s="243" t="s">
        <v>68</v>
      </c>
      <c r="F176" s="225" t="s">
        <v>68</v>
      </c>
      <c r="G176" s="32">
        <f>'Прилож №5'!H197</f>
        <v>1837</v>
      </c>
      <c r="H176" s="32">
        <f>'Прилож №5'!I197</f>
        <v>1837</v>
      </c>
      <c r="I176" s="6"/>
    </row>
    <row r="177" spans="1:9" s="4" customFormat="1" ht="15.75">
      <c r="A177" s="196" t="s">
        <v>200</v>
      </c>
      <c r="B177" s="40" t="s">
        <v>159</v>
      </c>
      <c r="C177" s="40" t="s">
        <v>151</v>
      </c>
      <c r="D177" s="197" t="s">
        <v>402</v>
      </c>
      <c r="E177" s="243" t="s">
        <v>201</v>
      </c>
      <c r="F177" s="225" t="s">
        <v>201</v>
      </c>
      <c r="G177" s="32">
        <f>'Прилож №5'!H198</f>
        <v>10163</v>
      </c>
      <c r="H177" s="32">
        <f>'Прилож №5'!I198</f>
        <v>10163</v>
      </c>
      <c r="I177" s="6"/>
    </row>
    <row r="178" spans="1:9" s="4" customFormat="1" ht="15.75">
      <c r="A178" s="58" t="s">
        <v>9</v>
      </c>
      <c r="B178" s="69" t="s">
        <v>159</v>
      </c>
      <c r="C178" s="69" t="s">
        <v>152</v>
      </c>
      <c r="D178" s="34" t="s">
        <v>42</v>
      </c>
      <c r="E178" s="35" t="s">
        <v>44</v>
      </c>
      <c r="F178" s="70"/>
      <c r="G178" s="36">
        <f>G179+G183+G194+G188</f>
        <v>446640.6</v>
      </c>
      <c r="H178" s="36">
        <f>H179+H183+H194+H188</f>
        <v>291691.2</v>
      </c>
      <c r="I178" s="6"/>
    </row>
    <row r="179" spans="1:9" s="4" customFormat="1" ht="33.75" customHeight="1">
      <c r="A179" s="134" t="s">
        <v>258</v>
      </c>
      <c r="B179" s="31" t="s">
        <v>159</v>
      </c>
      <c r="C179" s="40" t="s">
        <v>152</v>
      </c>
      <c r="D179" s="39" t="s">
        <v>26</v>
      </c>
      <c r="E179" s="31" t="s">
        <v>44</v>
      </c>
      <c r="F179" s="39"/>
      <c r="G179" s="41">
        <f>G180</f>
        <v>326843.5</v>
      </c>
      <c r="H179" s="41">
        <f>H180</f>
        <v>256171.5</v>
      </c>
      <c r="I179" s="1"/>
    </row>
    <row r="180" spans="1:9" s="4" customFormat="1" ht="15.75">
      <c r="A180" s="126" t="s">
        <v>25</v>
      </c>
      <c r="B180" s="31" t="s">
        <v>159</v>
      </c>
      <c r="C180" s="31" t="s">
        <v>152</v>
      </c>
      <c r="D180" s="30" t="s">
        <v>173</v>
      </c>
      <c r="E180" s="31" t="s">
        <v>44</v>
      </c>
      <c r="F180" s="30"/>
      <c r="G180" s="32">
        <f>G181+G182</f>
        <v>326843.5</v>
      </c>
      <c r="H180" s="32">
        <f>H181+H182</f>
        <v>256171.5</v>
      </c>
      <c r="I180" s="1"/>
    </row>
    <row r="181" spans="1:9" s="4" customFormat="1" ht="15.75">
      <c r="A181" s="182" t="s">
        <v>138</v>
      </c>
      <c r="B181" s="193" t="s">
        <v>159</v>
      </c>
      <c r="C181" s="193" t="s">
        <v>152</v>
      </c>
      <c r="D181" s="194" t="s">
        <v>173</v>
      </c>
      <c r="E181" s="193" t="s">
        <v>68</v>
      </c>
      <c r="F181" s="194"/>
      <c r="G181" s="71">
        <f>'Прилож №5'!H202</f>
        <v>171724.9</v>
      </c>
      <c r="H181" s="71">
        <f>'Прилож №5'!I202</f>
        <v>136208.9</v>
      </c>
      <c r="I181" s="1"/>
    </row>
    <row r="182" spans="1:9" s="4" customFormat="1" ht="15.75">
      <c r="A182" s="196" t="s">
        <v>200</v>
      </c>
      <c r="B182" s="193" t="s">
        <v>159</v>
      </c>
      <c r="C182" s="193" t="s">
        <v>152</v>
      </c>
      <c r="D182" s="194" t="s">
        <v>173</v>
      </c>
      <c r="E182" s="193" t="s">
        <v>201</v>
      </c>
      <c r="F182" s="194"/>
      <c r="G182" s="71">
        <f>'Прилож №5'!H203</f>
        <v>155118.6</v>
      </c>
      <c r="H182" s="71">
        <f>'Прилож №5'!I203</f>
        <v>119962.6</v>
      </c>
      <c r="I182" s="1"/>
    </row>
    <row r="183" spans="1:9" s="4" customFormat="1" ht="15.75">
      <c r="A183" s="125" t="s">
        <v>29</v>
      </c>
      <c r="B183" s="31" t="s">
        <v>159</v>
      </c>
      <c r="C183" s="31" t="s">
        <v>152</v>
      </c>
      <c r="D183" s="30" t="s">
        <v>30</v>
      </c>
      <c r="E183" s="31" t="s">
        <v>44</v>
      </c>
      <c r="F183" s="30"/>
      <c r="G183" s="32">
        <f>G184</f>
        <v>85490.09999999999</v>
      </c>
      <c r="H183" s="32">
        <f>H184</f>
        <v>1212.7</v>
      </c>
      <c r="I183" s="1"/>
    </row>
    <row r="184" spans="1:9" s="4" customFormat="1" ht="15.75">
      <c r="A184" s="125" t="s">
        <v>25</v>
      </c>
      <c r="B184" s="31" t="s">
        <v>159</v>
      </c>
      <c r="C184" s="31" t="s">
        <v>152</v>
      </c>
      <c r="D184" s="30" t="s">
        <v>174</v>
      </c>
      <c r="E184" s="31" t="s">
        <v>44</v>
      </c>
      <c r="F184" s="30"/>
      <c r="G184" s="32">
        <f>G185+G186</f>
        <v>85490.09999999999</v>
      </c>
      <c r="H184" s="32">
        <f>H185+H186</f>
        <v>1212.7</v>
      </c>
      <c r="I184" s="1"/>
    </row>
    <row r="185" spans="1:9" s="4" customFormat="1" ht="15.75">
      <c r="A185" s="126" t="s">
        <v>138</v>
      </c>
      <c r="B185" s="31" t="s">
        <v>159</v>
      </c>
      <c r="C185" s="31" t="s">
        <v>152</v>
      </c>
      <c r="D185" s="30" t="s">
        <v>174</v>
      </c>
      <c r="E185" s="31" t="s">
        <v>68</v>
      </c>
      <c r="F185" s="30"/>
      <c r="G185" s="32">
        <f>'Прилож №5'!H206+'Прилож №5'!H257</f>
        <v>84457.4</v>
      </c>
      <c r="H185" s="32">
        <f>'Прилож №5'!I206+'Прилож №5'!I257</f>
        <v>180</v>
      </c>
      <c r="I185" s="1"/>
    </row>
    <row r="186" spans="1:9" s="4" customFormat="1" ht="43.5">
      <c r="A186" s="217" t="s">
        <v>417</v>
      </c>
      <c r="B186" s="31" t="s">
        <v>159</v>
      </c>
      <c r="C186" s="30" t="s">
        <v>152</v>
      </c>
      <c r="D186" s="98" t="s">
        <v>418</v>
      </c>
      <c r="E186" s="31" t="s">
        <v>44</v>
      </c>
      <c r="F186" s="30"/>
      <c r="G186" s="32">
        <f>G187</f>
        <v>1032.7</v>
      </c>
      <c r="H186" s="32">
        <f>H187</f>
        <v>1032.7</v>
      </c>
      <c r="I186" s="1"/>
    </row>
    <row r="187" spans="1:9" s="4" customFormat="1" ht="15.75">
      <c r="A187" s="189" t="s">
        <v>138</v>
      </c>
      <c r="B187" s="31" t="s">
        <v>159</v>
      </c>
      <c r="C187" s="30" t="s">
        <v>152</v>
      </c>
      <c r="D187" s="98" t="s">
        <v>418</v>
      </c>
      <c r="E187" s="31" t="s">
        <v>68</v>
      </c>
      <c r="F187" s="30"/>
      <c r="G187" s="32">
        <f>'Прилож №5'!H208+'Прилож №5'!H259</f>
        <v>1032.7</v>
      </c>
      <c r="H187" s="32">
        <f>'Прилож №5'!I208+'Прилож №5'!I259</f>
        <v>1032.7</v>
      </c>
      <c r="I187" s="1"/>
    </row>
    <row r="188" spans="1:9" s="4" customFormat="1" ht="15.75">
      <c r="A188" s="250" t="s">
        <v>438</v>
      </c>
      <c r="B188" s="31" t="s">
        <v>159</v>
      </c>
      <c r="C188" s="30" t="s">
        <v>152</v>
      </c>
      <c r="D188" s="98" t="s">
        <v>437</v>
      </c>
      <c r="E188" s="31" t="s">
        <v>44</v>
      </c>
      <c r="F188" s="30"/>
      <c r="G188" s="32">
        <f>G189+G192</f>
        <v>8247</v>
      </c>
      <c r="H188" s="32">
        <f>H189+H192</f>
        <v>8247</v>
      </c>
      <c r="I188" s="1"/>
    </row>
    <row r="189" spans="1:9" s="4" customFormat="1" ht="15.75">
      <c r="A189" s="136" t="s">
        <v>254</v>
      </c>
      <c r="B189" s="31" t="s">
        <v>159</v>
      </c>
      <c r="C189" s="31" t="s">
        <v>152</v>
      </c>
      <c r="D189" s="92" t="s">
        <v>337</v>
      </c>
      <c r="E189" s="31" t="s">
        <v>44</v>
      </c>
      <c r="F189" s="218"/>
      <c r="G189" s="32">
        <f>G190+G191</f>
        <v>228</v>
      </c>
      <c r="H189" s="32">
        <f>H190+H191</f>
        <v>228</v>
      </c>
      <c r="I189" s="1"/>
    </row>
    <row r="190" spans="1:9" s="4" customFormat="1" ht="15.75">
      <c r="A190" s="136" t="s">
        <v>138</v>
      </c>
      <c r="B190" s="68" t="s">
        <v>159</v>
      </c>
      <c r="C190" s="40" t="s">
        <v>152</v>
      </c>
      <c r="D190" s="72" t="s">
        <v>337</v>
      </c>
      <c r="E190" s="68" t="s">
        <v>68</v>
      </c>
      <c r="F190" s="219" t="s">
        <v>68</v>
      </c>
      <c r="G190" s="73">
        <f>'Прилож №5'!H211</f>
        <v>103.6</v>
      </c>
      <c r="H190" s="73">
        <f>'Прилож №5'!I211</f>
        <v>103.6</v>
      </c>
      <c r="I190" s="1"/>
    </row>
    <row r="191" spans="1:9" s="4" customFormat="1" ht="15.75">
      <c r="A191" s="52" t="s">
        <v>200</v>
      </c>
      <c r="B191" s="31" t="s">
        <v>159</v>
      </c>
      <c r="C191" s="31" t="s">
        <v>152</v>
      </c>
      <c r="D191" s="92" t="s">
        <v>337</v>
      </c>
      <c r="E191" s="31" t="s">
        <v>201</v>
      </c>
      <c r="F191" s="218"/>
      <c r="G191" s="32">
        <f>'Прилож №5'!H212</f>
        <v>124.4</v>
      </c>
      <c r="H191" s="32">
        <f>'Прилож №5'!I212</f>
        <v>124.4</v>
      </c>
      <c r="I191" s="1"/>
    </row>
    <row r="192" spans="1:9" s="4" customFormat="1" ht="15.75">
      <c r="A192" s="189" t="s">
        <v>436</v>
      </c>
      <c r="B192" s="31" t="s">
        <v>159</v>
      </c>
      <c r="C192" s="31" t="s">
        <v>152</v>
      </c>
      <c r="D192" s="191" t="s">
        <v>435</v>
      </c>
      <c r="E192" s="31" t="s">
        <v>44</v>
      </c>
      <c r="F192" s="218"/>
      <c r="G192" s="32">
        <f>G193</f>
        <v>8019</v>
      </c>
      <c r="H192" s="32">
        <f>H193</f>
        <v>8019</v>
      </c>
      <c r="I192" s="1"/>
    </row>
    <row r="193" spans="1:9" s="4" customFormat="1" ht="15.75">
      <c r="A193" s="201" t="s">
        <v>195</v>
      </c>
      <c r="B193" s="31" t="s">
        <v>159</v>
      </c>
      <c r="C193" s="31" t="s">
        <v>152</v>
      </c>
      <c r="D193" s="191" t="s">
        <v>435</v>
      </c>
      <c r="E193" s="31" t="s">
        <v>203</v>
      </c>
      <c r="F193" s="218"/>
      <c r="G193" s="32">
        <f>'Прилож №5'!H214</f>
        <v>8019</v>
      </c>
      <c r="H193" s="32">
        <f>'Прилож №5'!I214</f>
        <v>8019</v>
      </c>
      <c r="I193" s="1"/>
    </row>
    <row r="194" spans="1:9" s="4" customFormat="1" ht="15.75">
      <c r="A194" s="126" t="s">
        <v>95</v>
      </c>
      <c r="B194" s="31" t="s">
        <v>159</v>
      </c>
      <c r="C194" s="31" t="s">
        <v>152</v>
      </c>
      <c r="D194" s="92" t="s">
        <v>75</v>
      </c>
      <c r="E194" s="31" t="s">
        <v>44</v>
      </c>
      <c r="F194" s="218"/>
      <c r="G194" s="32">
        <f>G195+G198</f>
        <v>26060</v>
      </c>
      <c r="H194" s="32">
        <f>H195+H198</f>
        <v>26060</v>
      </c>
      <c r="I194" s="1"/>
    </row>
    <row r="195" spans="1:9" s="4" customFormat="1" ht="29.25">
      <c r="A195" s="134" t="s">
        <v>252</v>
      </c>
      <c r="B195" s="54" t="s">
        <v>159</v>
      </c>
      <c r="C195" s="31" t="s">
        <v>152</v>
      </c>
      <c r="D195" s="102" t="s">
        <v>253</v>
      </c>
      <c r="E195" s="31" t="s">
        <v>44</v>
      </c>
      <c r="F195" s="220"/>
      <c r="G195" s="55">
        <f>G196+G197</f>
        <v>4446</v>
      </c>
      <c r="H195" s="55">
        <f>H196+H197</f>
        <v>4446</v>
      </c>
      <c r="I195" s="1"/>
    </row>
    <row r="196" spans="1:9" s="4" customFormat="1" ht="15.75">
      <c r="A196" s="137" t="s">
        <v>138</v>
      </c>
      <c r="B196" s="31" t="s">
        <v>159</v>
      </c>
      <c r="C196" s="31" t="s">
        <v>152</v>
      </c>
      <c r="D196" s="92" t="s">
        <v>253</v>
      </c>
      <c r="E196" s="31" t="s">
        <v>68</v>
      </c>
      <c r="F196" s="218" t="s">
        <v>68</v>
      </c>
      <c r="G196" s="32">
        <f>'Прилож №5'!H217</f>
        <v>1982.1000000000001</v>
      </c>
      <c r="H196" s="32">
        <f>'Прилож №5'!I217</f>
        <v>1982.1000000000001</v>
      </c>
      <c r="I196" s="1"/>
    </row>
    <row r="197" spans="1:9" s="4" customFormat="1" ht="15.75">
      <c r="A197" s="52" t="s">
        <v>200</v>
      </c>
      <c r="B197" s="31" t="s">
        <v>159</v>
      </c>
      <c r="C197" s="31" t="s">
        <v>152</v>
      </c>
      <c r="D197" s="92" t="s">
        <v>253</v>
      </c>
      <c r="E197" s="31" t="s">
        <v>201</v>
      </c>
      <c r="F197" s="218"/>
      <c r="G197" s="32">
        <f>'Прилож №5'!H218</f>
        <v>2463.8999999999996</v>
      </c>
      <c r="H197" s="32">
        <f>'Прилож №5'!I218</f>
        <v>2463.8999999999996</v>
      </c>
      <c r="I197" s="1"/>
    </row>
    <row r="198" spans="1:9" s="4" customFormat="1" ht="15.75">
      <c r="A198" s="196" t="s">
        <v>363</v>
      </c>
      <c r="B198" s="193" t="s">
        <v>159</v>
      </c>
      <c r="C198" s="194" t="s">
        <v>152</v>
      </c>
      <c r="D198" s="197" t="s">
        <v>362</v>
      </c>
      <c r="E198" s="203" t="s">
        <v>44</v>
      </c>
      <c r="F198" s="216" t="s">
        <v>44</v>
      </c>
      <c r="G198" s="32">
        <f>G199</f>
        <v>21614</v>
      </c>
      <c r="H198" s="32">
        <f>H199</f>
        <v>21614</v>
      </c>
      <c r="I198" s="1"/>
    </row>
    <row r="199" spans="1:9" s="4" customFormat="1" ht="43.5">
      <c r="A199" s="168" t="s">
        <v>372</v>
      </c>
      <c r="B199" s="193" t="s">
        <v>159</v>
      </c>
      <c r="C199" s="194" t="s">
        <v>152</v>
      </c>
      <c r="D199" s="197" t="s">
        <v>371</v>
      </c>
      <c r="E199" s="203" t="s">
        <v>44</v>
      </c>
      <c r="F199" s="216" t="s">
        <v>44</v>
      </c>
      <c r="G199" s="32">
        <f>G200</f>
        <v>21614</v>
      </c>
      <c r="H199" s="32">
        <f>H200</f>
        <v>21614</v>
      </c>
      <c r="I199" s="1"/>
    </row>
    <row r="200" spans="1:9" s="4" customFormat="1" ht="57.75">
      <c r="A200" s="168" t="s">
        <v>407</v>
      </c>
      <c r="B200" s="193" t="s">
        <v>159</v>
      </c>
      <c r="C200" s="194" t="s">
        <v>152</v>
      </c>
      <c r="D200" s="197" t="s">
        <v>401</v>
      </c>
      <c r="E200" s="203" t="s">
        <v>44</v>
      </c>
      <c r="F200" s="216" t="s">
        <v>44</v>
      </c>
      <c r="G200" s="32">
        <f>G201+G202</f>
        <v>21614</v>
      </c>
      <c r="H200" s="32">
        <f>H201+H202</f>
        <v>21614</v>
      </c>
      <c r="I200" s="1"/>
    </row>
    <row r="201" spans="1:9" s="4" customFormat="1" ht="15.75">
      <c r="A201" s="196" t="s">
        <v>138</v>
      </c>
      <c r="B201" s="193" t="s">
        <v>159</v>
      </c>
      <c r="C201" s="194" t="s">
        <v>152</v>
      </c>
      <c r="D201" s="197" t="s">
        <v>401</v>
      </c>
      <c r="E201" s="203" t="s">
        <v>68</v>
      </c>
      <c r="F201" s="216" t="s">
        <v>68</v>
      </c>
      <c r="G201" s="32">
        <f>'Прилож №5'!H222</f>
        <v>4415</v>
      </c>
      <c r="H201" s="32">
        <f>'Прилож №5'!I222</f>
        <v>4415</v>
      </c>
      <c r="I201" s="1"/>
    </row>
    <row r="202" spans="1:9" s="4" customFormat="1" ht="15.75">
      <c r="A202" s="201" t="s">
        <v>200</v>
      </c>
      <c r="B202" s="202" t="s">
        <v>159</v>
      </c>
      <c r="C202" s="205" t="s">
        <v>152</v>
      </c>
      <c r="D202" s="242" t="s">
        <v>401</v>
      </c>
      <c r="E202" s="203" t="s">
        <v>201</v>
      </c>
      <c r="F202" s="225" t="s">
        <v>201</v>
      </c>
      <c r="G202" s="55">
        <f>'Прилож №5'!H223</f>
        <v>17199</v>
      </c>
      <c r="H202" s="55">
        <f>'Прилож №5'!I223</f>
        <v>17199</v>
      </c>
      <c r="I202" s="1"/>
    </row>
    <row r="203" spans="1:9" s="4" customFormat="1" ht="15.75">
      <c r="A203" s="58" t="s">
        <v>27</v>
      </c>
      <c r="B203" s="35" t="s">
        <v>159</v>
      </c>
      <c r="C203" s="35" t="s">
        <v>159</v>
      </c>
      <c r="D203" s="34" t="s">
        <v>42</v>
      </c>
      <c r="E203" s="35" t="s">
        <v>44</v>
      </c>
      <c r="F203" s="34"/>
      <c r="G203" s="36">
        <f>G209+G204+G213</f>
        <v>15182.599999999999</v>
      </c>
      <c r="H203" s="36">
        <f>H209+H204</f>
        <v>8486.1</v>
      </c>
      <c r="I203" s="1"/>
    </row>
    <row r="204" spans="1:9" s="4" customFormat="1" ht="15.75">
      <c r="A204" s="125" t="s">
        <v>72</v>
      </c>
      <c r="B204" s="31" t="s">
        <v>159</v>
      </c>
      <c r="C204" s="31" t="s">
        <v>159</v>
      </c>
      <c r="D204" s="30" t="s">
        <v>73</v>
      </c>
      <c r="E204" s="31" t="s">
        <v>44</v>
      </c>
      <c r="F204" s="30"/>
      <c r="G204" s="32">
        <f>G207+G205</f>
        <v>5771.799999999999</v>
      </c>
      <c r="H204" s="32">
        <f>H207+H205</f>
        <v>2738.1</v>
      </c>
      <c r="I204" s="1"/>
    </row>
    <row r="205" spans="1:9" s="4" customFormat="1" ht="43.5">
      <c r="A205" s="142" t="s">
        <v>370</v>
      </c>
      <c r="B205" s="54" t="s">
        <v>159</v>
      </c>
      <c r="C205" s="31" t="s">
        <v>159</v>
      </c>
      <c r="D205" s="92" t="s">
        <v>369</v>
      </c>
      <c r="E205" s="31" t="s">
        <v>44</v>
      </c>
      <c r="F205" s="61" t="s">
        <v>44</v>
      </c>
      <c r="G205" s="32">
        <f>G206</f>
        <v>2712</v>
      </c>
      <c r="H205" s="32">
        <f>H206</f>
        <v>2712</v>
      </c>
      <c r="I205" s="1"/>
    </row>
    <row r="206" spans="1:9" s="4" customFormat="1" ht="15.75">
      <c r="A206" s="52" t="s">
        <v>138</v>
      </c>
      <c r="B206" s="54" t="s">
        <v>159</v>
      </c>
      <c r="C206" s="31" t="s">
        <v>159</v>
      </c>
      <c r="D206" s="92" t="s">
        <v>369</v>
      </c>
      <c r="E206" s="31" t="s">
        <v>68</v>
      </c>
      <c r="F206" s="61" t="s">
        <v>68</v>
      </c>
      <c r="G206" s="32">
        <f>'Прилож №5'!H263</f>
        <v>2712</v>
      </c>
      <c r="H206" s="32">
        <f>'Прилож №5'!I263</f>
        <v>2712</v>
      </c>
      <c r="I206" s="1"/>
    </row>
    <row r="207" spans="1:9" s="4" customFormat="1" ht="15.75">
      <c r="A207" s="125" t="s">
        <v>74</v>
      </c>
      <c r="B207" s="31" t="s">
        <v>159</v>
      </c>
      <c r="C207" s="31" t="s">
        <v>159</v>
      </c>
      <c r="D207" s="30" t="s">
        <v>247</v>
      </c>
      <c r="E207" s="31" t="s">
        <v>44</v>
      </c>
      <c r="F207" s="30"/>
      <c r="G207" s="32">
        <f>G208</f>
        <v>3059.7999999999997</v>
      </c>
      <c r="H207" s="32">
        <f>H208</f>
        <v>26.1</v>
      </c>
      <c r="I207" s="1"/>
    </row>
    <row r="208" spans="1:9" s="4" customFormat="1" ht="15.75">
      <c r="A208" s="126" t="s">
        <v>138</v>
      </c>
      <c r="B208" s="31" t="s">
        <v>159</v>
      </c>
      <c r="C208" s="31" t="s">
        <v>159</v>
      </c>
      <c r="D208" s="30" t="s">
        <v>247</v>
      </c>
      <c r="E208" s="31" t="s">
        <v>68</v>
      </c>
      <c r="F208" s="30" t="s">
        <v>13</v>
      </c>
      <c r="G208" s="32">
        <f>'Прилож №5'!H265</f>
        <v>3059.7999999999997</v>
      </c>
      <c r="H208" s="32">
        <f>'Прилож №5'!I265</f>
        <v>26.1</v>
      </c>
      <c r="I208" s="1"/>
    </row>
    <row r="209" spans="1:9" s="4" customFormat="1" ht="20.25" customHeight="1">
      <c r="A209" s="127" t="s">
        <v>311</v>
      </c>
      <c r="B209" s="31" t="s">
        <v>159</v>
      </c>
      <c r="C209" s="31" t="s">
        <v>159</v>
      </c>
      <c r="D209" s="30" t="s">
        <v>28</v>
      </c>
      <c r="E209" s="31" t="s">
        <v>44</v>
      </c>
      <c r="F209" s="30"/>
      <c r="G209" s="32">
        <f>G210</f>
        <v>8410.8</v>
      </c>
      <c r="H209" s="32">
        <f>H210</f>
        <v>5748</v>
      </c>
      <c r="I209" s="1"/>
    </row>
    <row r="210" spans="1:9" s="4" customFormat="1" ht="15.75">
      <c r="A210" s="125" t="s">
        <v>175</v>
      </c>
      <c r="B210" s="31" t="s">
        <v>159</v>
      </c>
      <c r="C210" s="31" t="s">
        <v>159</v>
      </c>
      <c r="D210" s="30" t="s">
        <v>350</v>
      </c>
      <c r="E210" s="31" t="s">
        <v>44</v>
      </c>
      <c r="F210" s="30"/>
      <c r="G210" s="32">
        <f>G211+G212</f>
        <v>8410.8</v>
      </c>
      <c r="H210" s="32">
        <f>H211+H212</f>
        <v>5748</v>
      </c>
      <c r="I210" s="1"/>
    </row>
    <row r="211" spans="1:9" s="4" customFormat="1" ht="15.75">
      <c r="A211" s="126" t="s">
        <v>138</v>
      </c>
      <c r="B211" s="31" t="s">
        <v>159</v>
      </c>
      <c r="C211" s="31" t="s">
        <v>159</v>
      </c>
      <c r="D211" s="30" t="s">
        <v>350</v>
      </c>
      <c r="E211" s="31" t="s">
        <v>68</v>
      </c>
      <c r="F211" s="30"/>
      <c r="G211" s="32">
        <f>'Прилож №5'!H227+'Прилож №5'!H268</f>
        <v>4662.4</v>
      </c>
      <c r="H211" s="32">
        <f>'Прилож №5'!I227</f>
        <v>1999.6000000000004</v>
      </c>
      <c r="I211" s="1"/>
    </row>
    <row r="212" spans="1:9" s="4" customFormat="1" ht="15.75">
      <c r="A212" s="52" t="s">
        <v>200</v>
      </c>
      <c r="B212" s="31" t="s">
        <v>159</v>
      </c>
      <c r="C212" s="31" t="s">
        <v>159</v>
      </c>
      <c r="D212" s="30" t="s">
        <v>350</v>
      </c>
      <c r="E212" s="31" t="s">
        <v>201</v>
      </c>
      <c r="F212" s="39"/>
      <c r="G212" s="41">
        <f>'Прилож №5'!H228</f>
        <v>3748.4</v>
      </c>
      <c r="H212" s="41">
        <f>'Прилож №5'!I228</f>
        <v>3748.4</v>
      </c>
      <c r="I212" s="1"/>
    </row>
    <row r="213" spans="1:9" s="4" customFormat="1" ht="15.75">
      <c r="A213" s="125" t="s">
        <v>100</v>
      </c>
      <c r="B213" s="102" t="s">
        <v>159</v>
      </c>
      <c r="C213" s="40" t="s">
        <v>159</v>
      </c>
      <c r="D213" s="98" t="s">
        <v>101</v>
      </c>
      <c r="E213" s="31" t="s">
        <v>44</v>
      </c>
      <c r="F213" s="221"/>
      <c r="G213" s="41">
        <f>G214</f>
        <v>1000</v>
      </c>
      <c r="H213" s="41">
        <f>H214</f>
        <v>0</v>
      </c>
      <c r="I213" s="1"/>
    </row>
    <row r="214" spans="1:9" s="4" customFormat="1" ht="29.25">
      <c r="A214" s="138" t="s">
        <v>297</v>
      </c>
      <c r="B214" s="102" t="s">
        <v>159</v>
      </c>
      <c r="C214" s="31" t="s">
        <v>159</v>
      </c>
      <c r="D214" s="92" t="s">
        <v>298</v>
      </c>
      <c r="E214" s="31" t="s">
        <v>44</v>
      </c>
      <c r="F214" s="222"/>
      <c r="G214" s="32">
        <f>G215</f>
        <v>1000</v>
      </c>
      <c r="H214" s="32">
        <f>H215</f>
        <v>0</v>
      </c>
      <c r="I214" s="1"/>
    </row>
    <row r="215" spans="1:9" s="4" customFormat="1" ht="15.75">
      <c r="A215" s="125" t="s">
        <v>138</v>
      </c>
      <c r="B215" s="72" t="s">
        <v>159</v>
      </c>
      <c r="C215" s="68" t="s">
        <v>159</v>
      </c>
      <c r="D215" s="72" t="s">
        <v>298</v>
      </c>
      <c r="E215" s="68" t="s">
        <v>68</v>
      </c>
      <c r="F215" s="223" t="s">
        <v>68</v>
      </c>
      <c r="G215" s="55">
        <f>'Прилож №5'!H271</f>
        <v>1000</v>
      </c>
      <c r="H215" s="55">
        <f>'Прилож №5'!I271</f>
        <v>0</v>
      </c>
      <c r="I215" s="1"/>
    </row>
    <row r="216" spans="1:9" s="4" customFormat="1" ht="15.75">
      <c r="A216" s="58" t="s">
        <v>31</v>
      </c>
      <c r="B216" s="35" t="s">
        <v>159</v>
      </c>
      <c r="C216" s="35" t="s">
        <v>157</v>
      </c>
      <c r="D216" s="34" t="s">
        <v>42</v>
      </c>
      <c r="E216" s="35" t="s">
        <v>44</v>
      </c>
      <c r="F216" s="34"/>
      <c r="G216" s="36">
        <f>G217+G222+G225+G220</f>
        <v>82088.7</v>
      </c>
      <c r="H216" s="36">
        <f>H217+H222+H225+H220</f>
        <v>7549.5</v>
      </c>
      <c r="I216" s="6"/>
    </row>
    <row r="217" spans="1:9" s="4" customFormat="1" ht="15.75">
      <c r="A217" s="127" t="s">
        <v>116</v>
      </c>
      <c r="B217" s="31" t="s">
        <v>159</v>
      </c>
      <c r="C217" s="31" t="s">
        <v>157</v>
      </c>
      <c r="D217" s="30" t="s">
        <v>202</v>
      </c>
      <c r="E217" s="31" t="s">
        <v>44</v>
      </c>
      <c r="F217" s="30"/>
      <c r="G217" s="32">
        <f>G218</f>
        <v>9862</v>
      </c>
      <c r="H217" s="32">
        <f>H218</f>
        <v>0</v>
      </c>
      <c r="I217" s="6"/>
    </row>
    <row r="218" spans="1:9" s="4" customFormat="1" ht="15.75">
      <c r="A218" s="129" t="s">
        <v>45</v>
      </c>
      <c r="B218" s="31" t="s">
        <v>159</v>
      </c>
      <c r="C218" s="31" t="s">
        <v>157</v>
      </c>
      <c r="D218" s="30" t="s">
        <v>204</v>
      </c>
      <c r="E218" s="31" t="s">
        <v>44</v>
      </c>
      <c r="F218" s="30"/>
      <c r="G218" s="32">
        <f>G219</f>
        <v>9862</v>
      </c>
      <c r="H218" s="32">
        <f>H219</f>
        <v>0</v>
      </c>
      <c r="I218" s="6"/>
    </row>
    <row r="219" spans="1:9" s="4" customFormat="1" ht="15.75">
      <c r="A219" s="129" t="s">
        <v>115</v>
      </c>
      <c r="B219" s="31" t="s">
        <v>159</v>
      </c>
      <c r="C219" s="31" t="s">
        <v>157</v>
      </c>
      <c r="D219" s="30" t="s">
        <v>204</v>
      </c>
      <c r="E219" s="31" t="s">
        <v>203</v>
      </c>
      <c r="F219" s="30"/>
      <c r="G219" s="32">
        <f>'Прилож №5'!H232</f>
        <v>9862</v>
      </c>
      <c r="H219" s="71">
        <f>'Прилож №5'!I232</f>
        <v>0</v>
      </c>
      <c r="I219" s="6"/>
    </row>
    <row r="220" spans="1:9" s="4" customFormat="1" ht="33.75" customHeight="1">
      <c r="A220" s="134" t="s">
        <v>326</v>
      </c>
      <c r="B220" s="31" t="s">
        <v>159</v>
      </c>
      <c r="C220" s="30" t="s">
        <v>152</v>
      </c>
      <c r="D220" s="98" t="s">
        <v>325</v>
      </c>
      <c r="E220" s="31" t="s">
        <v>44</v>
      </c>
      <c r="F220" s="61"/>
      <c r="G220" s="41">
        <f>G221</f>
        <v>6701.5</v>
      </c>
      <c r="H220" s="41">
        <f>H221</f>
        <v>6701.5</v>
      </c>
      <c r="I220" s="1"/>
    </row>
    <row r="221" spans="1:9" s="4" customFormat="1" ht="18" customHeight="1">
      <c r="A221" s="125" t="s">
        <v>200</v>
      </c>
      <c r="B221" s="31" t="s">
        <v>159</v>
      </c>
      <c r="C221" s="30" t="s">
        <v>152</v>
      </c>
      <c r="D221" s="92" t="s">
        <v>325</v>
      </c>
      <c r="E221" s="54" t="s">
        <v>201</v>
      </c>
      <c r="F221" s="61" t="s">
        <v>201</v>
      </c>
      <c r="G221" s="41">
        <f>'Прилож №5'!H234</f>
        <v>6701.5</v>
      </c>
      <c r="H221" s="41">
        <f>'Прилож №5'!I234</f>
        <v>6701.5</v>
      </c>
      <c r="I221" s="1"/>
    </row>
    <row r="222" spans="1:9" s="4" customFormat="1" ht="57.75">
      <c r="A222" s="134" t="s">
        <v>87</v>
      </c>
      <c r="B222" s="31" t="s">
        <v>159</v>
      </c>
      <c r="C222" s="31" t="s">
        <v>157</v>
      </c>
      <c r="D222" s="30" t="s">
        <v>37</v>
      </c>
      <c r="E222" s="31" t="s">
        <v>44</v>
      </c>
      <c r="F222" s="30"/>
      <c r="G222" s="32">
        <f>G223</f>
        <v>18325.2</v>
      </c>
      <c r="H222" s="32">
        <f>H223</f>
        <v>848</v>
      </c>
      <c r="I222" s="6"/>
    </row>
    <row r="223" spans="1:9" s="4" customFormat="1" ht="15.75">
      <c r="A223" s="125" t="s">
        <v>25</v>
      </c>
      <c r="B223" s="31" t="s">
        <v>159</v>
      </c>
      <c r="C223" s="31" t="s">
        <v>157</v>
      </c>
      <c r="D223" s="30" t="s">
        <v>176</v>
      </c>
      <c r="E223" s="31" t="s">
        <v>44</v>
      </c>
      <c r="F223" s="30"/>
      <c r="G223" s="32">
        <f>G224</f>
        <v>18325.2</v>
      </c>
      <c r="H223" s="32">
        <f>H224</f>
        <v>848</v>
      </c>
      <c r="I223" s="6"/>
    </row>
    <row r="224" spans="1:9" s="4" customFormat="1" ht="15.75">
      <c r="A224" s="52" t="s">
        <v>200</v>
      </c>
      <c r="B224" s="31" t="s">
        <v>159</v>
      </c>
      <c r="C224" s="31" t="s">
        <v>157</v>
      </c>
      <c r="D224" s="30" t="s">
        <v>176</v>
      </c>
      <c r="E224" s="31" t="s">
        <v>201</v>
      </c>
      <c r="F224" s="30"/>
      <c r="G224" s="32">
        <f>'Прилож №5'!H237</f>
        <v>18325.2</v>
      </c>
      <c r="H224" s="32">
        <f>'Прилож №5'!I237</f>
        <v>848</v>
      </c>
      <c r="I224" s="6"/>
    </row>
    <row r="225" spans="1:9" s="4" customFormat="1" ht="15.75">
      <c r="A225" s="125" t="s">
        <v>100</v>
      </c>
      <c r="B225" s="54" t="s">
        <v>159</v>
      </c>
      <c r="C225" s="54" t="s">
        <v>157</v>
      </c>
      <c r="D225" s="53" t="s">
        <v>101</v>
      </c>
      <c r="E225" s="31" t="s">
        <v>44</v>
      </c>
      <c r="F225" s="53"/>
      <c r="G225" s="55">
        <f>G226</f>
        <v>47200</v>
      </c>
      <c r="H225" s="55">
        <f>H226</f>
        <v>0</v>
      </c>
      <c r="I225" s="6"/>
    </row>
    <row r="226" spans="1:9" s="4" customFormat="1" ht="29.25">
      <c r="A226" s="168" t="s">
        <v>315</v>
      </c>
      <c r="B226" s="193" t="s">
        <v>159</v>
      </c>
      <c r="C226" s="193" t="s">
        <v>157</v>
      </c>
      <c r="D226" s="194" t="s">
        <v>177</v>
      </c>
      <c r="E226" s="193" t="s">
        <v>44</v>
      </c>
      <c r="F226" s="194"/>
      <c r="G226" s="71">
        <f>G227+G228+G229</f>
        <v>47200</v>
      </c>
      <c r="H226" s="71">
        <f>H227+H228+H229</f>
        <v>0</v>
      </c>
      <c r="I226" s="6"/>
    </row>
    <row r="227" spans="1:9" s="4" customFormat="1" ht="15.75">
      <c r="A227" s="208" t="s">
        <v>115</v>
      </c>
      <c r="B227" s="197" t="s">
        <v>159</v>
      </c>
      <c r="C227" s="193" t="s">
        <v>157</v>
      </c>
      <c r="D227" s="194" t="s">
        <v>177</v>
      </c>
      <c r="E227" s="209" t="s">
        <v>203</v>
      </c>
      <c r="F227" s="199"/>
      <c r="G227" s="210">
        <f>'Прилож №5'!H241</f>
        <v>25956.4</v>
      </c>
      <c r="H227" s="210">
        <f>'Прилож №5'!I241</f>
        <v>0</v>
      </c>
      <c r="I227" s="6"/>
    </row>
    <row r="228" spans="1:9" s="4" customFormat="1" ht="15.75">
      <c r="A228" s="196" t="s">
        <v>200</v>
      </c>
      <c r="B228" s="197" t="s">
        <v>159</v>
      </c>
      <c r="C228" s="193" t="s">
        <v>157</v>
      </c>
      <c r="D228" s="194" t="s">
        <v>177</v>
      </c>
      <c r="E228" s="193" t="s">
        <v>201</v>
      </c>
      <c r="F228" s="194"/>
      <c r="G228" s="71">
        <f>'Прилож №5'!H240</f>
        <v>20743.600000000002</v>
      </c>
      <c r="H228" s="71">
        <f>'Прилож №5'!I240</f>
        <v>0</v>
      </c>
      <c r="I228" s="6"/>
    </row>
    <row r="229" spans="1:9" s="4" customFormat="1" ht="16.5" thickBot="1">
      <c r="A229" s="182" t="s">
        <v>138</v>
      </c>
      <c r="B229" s="197" t="s">
        <v>159</v>
      </c>
      <c r="C229" s="193" t="s">
        <v>157</v>
      </c>
      <c r="D229" s="194" t="s">
        <v>177</v>
      </c>
      <c r="E229" s="224" t="s">
        <v>68</v>
      </c>
      <c r="F229" s="194"/>
      <c r="G229" s="71">
        <f>'Прилож №5'!H275</f>
        <v>500</v>
      </c>
      <c r="H229" s="162">
        <f>'Прилож №5'!I275</f>
        <v>0</v>
      </c>
      <c r="I229" s="6"/>
    </row>
    <row r="230" spans="1:9" s="4" customFormat="1" ht="16.5" thickBot="1">
      <c r="A230" s="75" t="s">
        <v>324</v>
      </c>
      <c r="B230" s="87" t="s">
        <v>160</v>
      </c>
      <c r="C230" s="24" t="s">
        <v>96</v>
      </c>
      <c r="D230" s="22" t="s">
        <v>42</v>
      </c>
      <c r="E230" s="24" t="s">
        <v>44</v>
      </c>
      <c r="F230" s="57"/>
      <c r="G230" s="146">
        <f>G231+G260</f>
        <v>99755.90000000002</v>
      </c>
      <c r="H230" s="25">
        <f>H231+H260</f>
        <v>6831.4</v>
      </c>
      <c r="I230" s="6"/>
    </row>
    <row r="231" spans="1:9" s="4" customFormat="1" ht="16.5" thickBot="1">
      <c r="A231" s="56" t="s">
        <v>32</v>
      </c>
      <c r="B231" s="87" t="s">
        <v>160</v>
      </c>
      <c r="C231" s="87" t="s">
        <v>151</v>
      </c>
      <c r="D231" s="24" t="s">
        <v>42</v>
      </c>
      <c r="E231" s="45" t="s">
        <v>44</v>
      </c>
      <c r="F231" s="22" t="s">
        <v>10</v>
      </c>
      <c r="G231" s="146">
        <f>G239+G244+G252+G257+G232</f>
        <v>99558.90000000002</v>
      </c>
      <c r="H231" s="25">
        <f>H239+H244+H252+H257+H232</f>
        <v>6634.4</v>
      </c>
      <c r="I231" s="6"/>
    </row>
    <row r="232" spans="1:9" s="4" customFormat="1" ht="29.25">
      <c r="A232" s="185" t="s">
        <v>92</v>
      </c>
      <c r="B232" s="106" t="s">
        <v>160</v>
      </c>
      <c r="C232" s="28" t="s">
        <v>151</v>
      </c>
      <c r="D232" s="28" t="s">
        <v>33</v>
      </c>
      <c r="E232" s="28" t="s">
        <v>44</v>
      </c>
      <c r="F232" s="27"/>
      <c r="G232" s="186">
        <f>G235+G233</f>
        <v>72669.30000000002</v>
      </c>
      <c r="H232" s="29">
        <f>H235+H233</f>
        <v>5647.2</v>
      </c>
      <c r="I232" s="6"/>
    </row>
    <row r="233" spans="1:9" s="4" customFormat="1" ht="57.75">
      <c r="A233" s="142" t="s">
        <v>405</v>
      </c>
      <c r="B233" s="102" t="s">
        <v>160</v>
      </c>
      <c r="C233" s="54" t="s">
        <v>151</v>
      </c>
      <c r="D233" s="54" t="s">
        <v>403</v>
      </c>
      <c r="E233" s="53" t="s">
        <v>44</v>
      </c>
      <c r="F233" s="103" t="s">
        <v>44</v>
      </c>
      <c r="G233" s="147">
        <f>G234</f>
        <v>4963</v>
      </c>
      <c r="H233" s="55">
        <f>H234</f>
        <v>4963</v>
      </c>
      <c r="I233" s="6"/>
    </row>
    <row r="234" spans="1:9" s="4" customFormat="1" ht="15.75">
      <c r="A234" s="144" t="s">
        <v>138</v>
      </c>
      <c r="B234" s="102" t="s">
        <v>160</v>
      </c>
      <c r="C234" s="54" t="s">
        <v>151</v>
      </c>
      <c r="D234" s="54" t="s">
        <v>403</v>
      </c>
      <c r="E234" s="53" t="s">
        <v>68</v>
      </c>
      <c r="F234" s="103" t="s">
        <v>68</v>
      </c>
      <c r="G234" s="147">
        <f>'Прилож №5'!H280</f>
        <v>4963</v>
      </c>
      <c r="H234" s="55">
        <f>'Прилож №5'!I280</f>
        <v>4963</v>
      </c>
      <c r="I234" s="6"/>
    </row>
    <row r="235" spans="1:9" s="4" customFormat="1" ht="15.75">
      <c r="A235" s="135" t="s">
        <v>25</v>
      </c>
      <c r="B235" s="102" t="s">
        <v>160</v>
      </c>
      <c r="C235" s="54" t="s">
        <v>151</v>
      </c>
      <c r="D235" s="54" t="s">
        <v>178</v>
      </c>
      <c r="E235" s="54" t="s">
        <v>44</v>
      </c>
      <c r="F235" s="103"/>
      <c r="G235" s="147">
        <f>'Прилож №5'!H281</f>
        <v>67706.30000000002</v>
      </c>
      <c r="H235" s="55">
        <f>'Прилож №5'!I281</f>
        <v>684.2</v>
      </c>
      <c r="I235" s="6"/>
    </row>
    <row r="236" spans="1:9" s="4" customFormat="1" ht="15.75">
      <c r="A236" s="125" t="s">
        <v>138</v>
      </c>
      <c r="B236" s="102" t="s">
        <v>160</v>
      </c>
      <c r="C236" s="54" t="s">
        <v>151</v>
      </c>
      <c r="D236" s="31" t="s">
        <v>178</v>
      </c>
      <c r="E236" s="31" t="s">
        <v>68</v>
      </c>
      <c r="F236" s="74" t="s">
        <v>68</v>
      </c>
      <c r="G236" s="147">
        <f>'Прилож №5'!H282</f>
        <v>67282.10000000002</v>
      </c>
      <c r="H236" s="55">
        <f>'Прилож №5'!I282</f>
        <v>260</v>
      </c>
      <c r="I236" s="6"/>
    </row>
    <row r="237" spans="1:9" s="4" customFormat="1" ht="29.25">
      <c r="A237" s="217" t="s">
        <v>419</v>
      </c>
      <c r="B237" s="54" t="s">
        <v>160</v>
      </c>
      <c r="C237" s="54" t="s">
        <v>151</v>
      </c>
      <c r="D237" s="31" t="s">
        <v>420</v>
      </c>
      <c r="E237" s="31" t="s">
        <v>44</v>
      </c>
      <c r="F237" s="61"/>
      <c r="G237" s="147">
        <f>G238</f>
        <v>424.2</v>
      </c>
      <c r="H237" s="55">
        <f>H238</f>
        <v>424.2</v>
      </c>
      <c r="I237" s="6"/>
    </row>
    <row r="238" spans="1:9" s="4" customFormat="1" ht="15.75">
      <c r="A238" s="189" t="s">
        <v>138</v>
      </c>
      <c r="B238" s="54" t="s">
        <v>160</v>
      </c>
      <c r="C238" s="54" t="s">
        <v>151</v>
      </c>
      <c r="D238" s="31" t="s">
        <v>420</v>
      </c>
      <c r="E238" s="31" t="s">
        <v>68</v>
      </c>
      <c r="F238" s="61"/>
      <c r="G238" s="147">
        <f>'Прилож №5'!H284</f>
        <v>424.2</v>
      </c>
      <c r="H238" s="55">
        <f>'Прилож №5'!I284</f>
        <v>424.2</v>
      </c>
      <c r="I238" s="6"/>
    </row>
    <row r="239" spans="1:9" s="4" customFormat="1" ht="15.75">
      <c r="A239" s="125" t="s">
        <v>11</v>
      </c>
      <c r="B239" s="92" t="s">
        <v>160</v>
      </c>
      <c r="C239" s="31" t="s">
        <v>151</v>
      </c>
      <c r="D239" s="31" t="s">
        <v>34</v>
      </c>
      <c r="E239" s="31" t="s">
        <v>44</v>
      </c>
      <c r="F239" s="30"/>
      <c r="G239" s="148">
        <f>G240</f>
        <v>3534.7</v>
      </c>
      <c r="H239" s="32">
        <f>H240</f>
        <v>553.5</v>
      </c>
      <c r="I239" s="6"/>
    </row>
    <row r="240" spans="1:9" s="4" customFormat="1" ht="15.75">
      <c r="A240" s="126" t="s">
        <v>25</v>
      </c>
      <c r="B240" s="92" t="s">
        <v>160</v>
      </c>
      <c r="C240" s="31" t="s">
        <v>151</v>
      </c>
      <c r="D240" s="31" t="s">
        <v>179</v>
      </c>
      <c r="E240" s="31" t="s">
        <v>44</v>
      </c>
      <c r="F240" s="30"/>
      <c r="G240" s="148">
        <f>'Прилож №5'!H286</f>
        <v>3534.7</v>
      </c>
      <c r="H240" s="32">
        <f>'Прилож №5'!I286</f>
        <v>553.5</v>
      </c>
      <c r="I240" s="6"/>
    </row>
    <row r="241" spans="1:9" s="4" customFormat="1" ht="15.75">
      <c r="A241" s="125" t="s">
        <v>138</v>
      </c>
      <c r="B241" s="92" t="s">
        <v>160</v>
      </c>
      <c r="C241" s="31" t="s">
        <v>151</v>
      </c>
      <c r="D241" s="31" t="s">
        <v>179</v>
      </c>
      <c r="E241" s="31" t="s">
        <v>68</v>
      </c>
      <c r="F241" s="30"/>
      <c r="G241" s="148">
        <f>'Прилож №5'!H287</f>
        <v>3471.2</v>
      </c>
      <c r="H241" s="32">
        <f>'Прилож №5'!I287</f>
        <v>490</v>
      </c>
      <c r="I241" s="6"/>
    </row>
    <row r="242" spans="1:9" s="4" customFormat="1" ht="43.5">
      <c r="A242" s="217" t="s">
        <v>423</v>
      </c>
      <c r="B242" s="54" t="s">
        <v>160</v>
      </c>
      <c r="C242" s="54" t="s">
        <v>151</v>
      </c>
      <c r="D242" s="31" t="s">
        <v>422</v>
      </c>
      <c r="E242" s="30" t="s">
        <v>44</v>
      </c>
      <c r="F242" s="63" t="s">
        <v>44</v>
      </c>
      <c r="G242" s="148">
        <f>G243</f>
        <v>63.5</v>
      </c>
      <c r="H242" s="32">
        <f>H243</f>
        <v>63.5</v>
      </c>
      <c r="I242" s="6"/>
    </row>
    <row r="243" spans="1:9" s="4" customFormat="1" ht="15.75">
      <c r="A243" s="189" t="s">
        <v>138</v>
      </c>
      <c r="B243" s="54" t="s">
        <v>160</v>
      </c>
      <c r="C243" s="54" t="s">
        <v>151</v>
      </c>
      <c r="D243" s="31" t="s">
        <v>422</v>
      </c>
      <c r="E243" s="30" t="s">
        <v>68</v>
      </c>
      <c r="F243" s="63" t="s">
        <v>68</v>
      </c>
      <c r="G243" s="148">
        <f>'Прилож №5'!H289</f>
        <v>63.5</v>
      </c>
      <c r="H243" s="32">
        <f>'Прилож №5'!I289</f>
        <v>63.5</v>
      </c>
      <c r="I243" s="6"/>
    </row>
    <row r="244" spans="1:9" s="4" customFormat="1" ht="15.75">
      <c r="A244" s="125" t="s">
        <v>12</v>
      </c>
      <c r="B244" s="92" t="s">
        <v>160</v>
      </c>
      <c r="C244" s="31" t="s">
        <v>151</v>
      </c>
      <c r="D244" s="31" t="s">
        <v>35</v>
      </c>
      <c r="E244" s="31" t="s">
        <v>44</v>
      </c>
      <c r="F244" s="30"/>
      <c r="G244" s="148">
        <f>G248+G245</f>
        <v>9216.2</v>
      </c>
      <c r="H244" s="32">
        <f>H248+H245</f>
        <v>260</v>
      </c>
      <c r="I244" s="6"/>
    </row>
    <row r="245" spans="1:9" s="4" customFormat="1" ht="29.25">
      <c r="A245" s="143" t="s">
        <v>412</v>
      </c>
      <c r="B245" s="92" t="s">
        <v>160</v>
      </c>
      <c r="C245" s="31" t="s">
        <v>151</v>
      </c>
      <c r="D245" s="31" t="s">
        <v>400</v>
      </c>
      <c r="E245" s="30" t="s">
        <v>44</v>
      </c>
      <c r="F245" s="74" t="s">
        <v>44</v>
      </c>
      <c r="G245" s="148">
        <f>G246</f>
        <v>142</v>
      </c>
      <c r="H245" s="32">
        <f>H246</f>
        <v>142</v>
      </c>
      <c r="I245" s="6"/>
    </row>
    <row r="246" spans="1:9" s="4" customFormat="1" ht="29.25">
      <c r="A246" s="169" t="s">
        <v>398</v>
      </c>
      <c r="B246" s="92" t="s">
        <v>160</v>
      </c>
      <c r="C246" s="31" t="s">
        <v>151</v>
      </c>
      <c r="D246" s="31" t="s">
        <v>399</v>
      </c>
      <c r="E246" s="30" t="s">
        <v>44</v>
      </c>
      <c r="F246" s="74" t="s">
        <v>44</v>
      </c>
      <c r="G246" s="148">
        <f>G247</f>
        <v>142</v>
      </c>
      <c r="H246" s="32">
        <f>H247</f>
        <v>142</v>
      </c>
      <c r="I246" s="6"/>
    </row>
    <row r="247" spans="1:9" s="4" customFormat="1" ht="15.75">
      <c r="A247" s="52" t="s">
        <v>138</v>
      </c>
      <c r="B247" s="92" t="s">
        <v>160</v>
      </c>
      <c r="C247" s="31" t="s">
        <v>151</v>
      </c>
      <c r="D247" s="31" t="s">
        <v>399</v>
      </c>
      <c r="E247" s="30" t="s">
        <v>68</v>
      </c>
      <c r="F247" s="74" t="s">
        <v>68</v>
      </c>
      <c r="G247" s="148">
        <f>'Прилож №5'!H293</f>
        <v>142</v>
      </c>
      <c r="H247" s="32">
        <f>'Прилож №5'!I293</f>
        <v>142</v>
      </c>
      <c r="I247" s="6"/>
    </row>
    <row r="248" spans="1:9" s="4" customFormat="1" ht="15.75">
      <c r="A248" s="126" t="s">
        <v>25</v>
      </c>
      <c r="B248" s="92" t="s">
        <v>160</v>
      </c>
      <c r="C248" s="31" t="s">
        <v>151</v>
      </c>
      <c r="D248" s="31" t="s">
        <v>180</v>
      </c>
      <c r="E248" s="31" t="s">
        <v>44</v>
      </c>
      <c r="F248" s="30"/>
      <c r="G248" s="148">
        <f>G249+G250</f>
        <v>9074.2</v>
      </c>
      <c r="H248" s="32">
        <f>H249+H250</f>
        <v>118</v>
      </c>
      <c r="I248" s="6"/>
    </row>
    <row r="249" spans="1:9" s="4" customFormat="1" ht="15.75">
      <c r="A249" s="125" t="s">
        <v>138</v>
      </c>
      <c r="B249" s="92" t="s">
        <v>160</v>
      </c>
      <c r="C249" s="31" t="s">
        <v>151</v>
      </c>
      <c r="D249" s="31" t="s">
        <v>180</v>
      </c>
      <c r="E249" s="31" t="s">
        <v>68</v>
      </c>
      <c r="F249" s="30"/>
      <c r="G249" s="148">
        <f>'Прилож №5'!H295</f>
        <v>8956.2</v>
      </c>
      <c r="H249" s="32">
        <f>'Прилож №5'!I295</f>
        <v>0</v>
      </c>
      <c r="I249" s="6"/>
    </row>
    <row r="250" spans="1:9" s="4" customFormat="1" ht="43.5">
      <c r="A250" s="217" t="s">
        <v>421</v>
      </c>
      <c r="B250" s="54" t="s">
        <v>160</v>
      </c>
      <c r="C250" s="54" t="s">
        <v>151</v>
      </c>
      <c r="D250" s="31" t="s">
        <v>425</v>
      </c>
      <c r="E250" s="30" t="s">
        <v>44</v>
      </c>
      <c r="F250" s="63" t="s">
        <v>44</v>
      </c>
      <c r="G250" s="148">
        <f>G251</f>
        <v>118</v>
      </c>
      <c r="H250" s="32">
        <f>H251</f>
        <v>118</v>
      </c>
      <c r="I250" s="6"/>
    </row>
    <row r="251" spans="1:9" s="4" customFormat="1" ht="15.75">
      <c r="A251" s="189" t="s">
        <v>138</v>
      </c>
      <c r="B251" s="54" t="s">
        <v>160</v>
      </c>
      <c r="C251" s="54" t="s">
        <v>151</v>
      </c>
      <c r="D251" s="31" t="s">
        <v>425</v>
      </c>
      <c r="E251" s="30" t="s">
        <v>68</v>
      </c>
      <c r="F251" s="63" t="s">
        <v>68</v>
      </c>
      <c r="G251" s="148">
        <f>'Прилож №5'!H297</f>
        <v>118</v>
      </c>
      <c r="H251" s="32">
        <f>'Прилож №5'!I297</f>
        <v>118</v>
      </c>
      <c r="I251" s="6"/>
    </row>
    <row r="252" spans="1:9" s="4" customFormat="1" ht="29.25">
      <c r="A252" s="127" t="s">
        <v>88</v>
      </c>
      <c r="B252" s="92" t="s">
        <v>160</v>
      </c>
      <c r="C252" s="31" t="s">
        <v>151</v>
      </c>
      <c r="D252" s="31" t="s">
        <v>36</v>
      </c>
      <c r="E252" s="31" t="s">
        <v>44</v>
      </c>
      <c r="F252" s="30"/>
      <c r="G252" s="148">
        <f>G253</f>
        <v>12638.7</v>
      </c>
      <c r="H252" s="32">
        <f>H253</f>
        <v>173.7</v>
      </c>
      <c r="I252" s="6"/>
    </row>
    <row r="253" spans="1:9" s="4" customFormat="1" ht="15.75">
      <c r="A253" s="126" t="s">
        <v>25</v>
      </c>
      <c r="B253" s="92" t="s">
        <v>160</v>
      </c>
      <c r="C253" s="31" t="s">
        <v>151</v>
      </c>
      <c r="D253" s="31" t="s">
        <v>181</v>
      </c>
      <c r="E253" s="31" t="s">
        <v>44</v>
      </c>
      <c r="F253" s="30"/>
      <c r="G253" s="148">
        <f>G254+G255</f>
        <v>12638.7</v>
      </c>
      <c r="H253" s="32">
        <f>H254+H255</f>
        <v>173.7</v>
      </c>
      <c r="I253" s="6"/>
    </row>
    <row r="254" spans="1:9" s="4" customFormat="1" ht="15.75">
      <c r="A254" s="125" t="s">
        <v>138</v>
      </c>
      <c r="B254" s="92" t="s">
        <v>160</v>
      </c>
      <c r="C254" s="31" t="s">
        <v>151</v>
      </c>
      <c r="D254" s="31" t="s">
        <v>181</v>
      </c>
      <c r="E254" s="31" t="s">
        <v>68</v>
      </c>
      <c r="F254" s="30"/>
      <c r="G254" s="148">
        <f>'Прилож №5'!H300</f>
        <v>12515</v>
      </c>
      <c r="H254" s="32">
        <f>'Прилож №5'!I300</f>
        <v>50</v>
      </c>
      <c r="I254" s="6"/>
    </row>
    <row r="255" spans="1:9" s="4" customFormat="1" ht="57.75">
      <c r="A255" s="168" t="s">
        <v>439</v>
      </c>
      <c r="B255" s="54" t="s">
        <v>160</v>
      </c>
      <c r="C255" s="54" t="s">
        <v>151</v>
      </c>
      <c r="D255" s="31" t="s">
        <v>424</v>
      </c>
      <c r="E255" s="30" t="s">
        <v>44</v>
      </c>
      <c r="F255" s="63" t="s">
        <v>44</v>
      </c>
      <c r="G255" s="148">
        <f>G256</f>
        <v>123.7</v>
      </c>
      <c r="H255" s="32">
        <f>H256</f>
        <v>123.7</v>
      </c>
      <c r="I255" s="6"/>
    </row>
    <row r="256" spans="1:9" s="4" customFormat="1" ht="15.75">
      <c r="A256" s="196" t="s">
        <v>138</v>
      </c>
      <c r="B256" s="54" t="s">
        <v>160</v>
      </c>
      <c r="C256" s="54" t="s">
        <v>151</v>
      </c>
      <c r="D256" s="31" t="s">
        <v>424</v>
      </c>
      <c r="E256" s="30" t="s">
        <v>68</v>
      </c>
      <c r="F256" s="63" t="s">
        <v>68</v>
      </c>
      <c r="G256" s="148">
        <f>'Прилож №5'!H302</f>
        <v>123.7</v>
      </c>
      <c r="H256" s="32">
        <f>'Прилож №5'!I302</f>
        <v>123.7</v>
      </c>
      <c r="I256" s="6"/>
    </row>
    <row r="257" spans="1:9" s="4" customFormat="1" ht="15.75">
      <c r="A257" s="129" t="s">
        <v>100</v>
      </c>
      <c r="B257" s="102" t="s">
        <v>160</v>
      </c>
      <c r="C257" s="54" t="s">
        <v>151</v>
      </c>
      <c r="D257" s="54" t="s">
        <v>101</v>
      </c>
      <c r="E257" s="54" t="s">
        <v>44</v>
      </c>
      <c r="F257" s="103"/>
      <c r="G257" s="149">
        <f>G258</f>
        <v>1500</v>
      </c>
      <c r="H257" s="73">
        <f>H258</f>
        <v>0</v>
      </c>
      <c r="I257" s="6"/>
    </row>
    <row r="258" spans="1:9" s="4" customFormat="1" ht="29.25">
      <c r="A258" s="127" t="s">
        <v>295</v>
      </c>
      <c r="B258" s="98" t="s">
        <v>160</v>
      </c>
      <c r="C258" s="40" t="s">
        <v>151</v>
      </c>
      <c r="D258" s="40" t="s">
        <v>296</v>
      </c>
      <c r="E258" s="31" t="s">
        <v>44</v>
      </c>
      <c r="F258" s="74"/>
      <c r="G258" s="148">
        <f>G259</f>
        <v>1500</v>
      </c>
      <c r="H258" s="32">
        <f>H259</f>
        <v>0</v>
      </c>
      <c r="I258" s="6"/>
    </row>
    <row r="259" spans="1:9" s="4" customFormat="1" ht="15.75">
      <c r="A259" s="125" t="s">
        <v>138</v>
      </c>
      <c r="B259" s="92" t="s">
        <v>160</v>
      </c>
      <c r="C259" s="31" t="s">
        <v>151</v>
      </c>
      <c r="D259" s="31" t="s">
        <v>296</v>
      </c>
      <c r="E259" s="31" t="s">
        <v>68</v>
      </c>
      <c r="F259" s="74" t="s">
        <v>68</v>
      </c>
      <c r="G259" s="148">
        <f>'Прилож №5'!H305</f>
        <v>1500</v>
      </c>
      <c r="H259" s="32">
        <f>'Прилож №5'!I305</f>
        <v>0</v>
      </c>
      <c r="I259" s="6"/>
    </row>
    <row r="260" spans="1:9" s="4" customFormat="1" ht="15.75">
      <c r="A260" s="58" t="s">
        <v>351</v>
      </c>
      <c r="B260" s="93" t="s">
        <v>160</v>
      </c>
      <c r="C260" s="35" t="s">
        <v>153</v>
      </c>
      <c r="D260" s="35" t="s">
        <v>42</v>
      </c>
      <c r="E260" s="64" t="s">
        <v>44</v>
      </c>
      <c r="F260" s="94" t="s">
        <v>44</v>
      </c>
      <c r="G260" s="183">
        <f aca="true" t="shared" si="7" ref="G260:H263">G261</f>
        <v>197</v>
      </c>
      <c r="H260" s="66">
        <f t="shared" si="7"/>
        <v>197</v>
      </c>
      <c r="I260" s="6"/>
    </row>
    <row r="261" spans="1:9" s="4" customFormat="1" ht="29.25">
      <c r="A261" s="127" t="s">
        <v>92</v>
      </c>
      <c r="B261" s="92" t="s">
        <v>160</v>
      </c>
      <c r="C261" s="31" t="s">
        <v>153</v>
      </c>
      <c r="D261" s="31" t="s">
        <v>33</v>
      </c>
      <c r="E261" s="54" t="s">
        <v>44</v>
      </c>
      <c r="F261" s="74" t="s">
        <v>44</v>
      </c>
      <c r="G261" s="184">
        <f t="shared" si="7"/>
        <v>197</v>
      </c>
      <c r="H261" s="32">
        <f t="shared" si="7"/>
        <v>197</v>
      </c>
      <c r="I261" s="6"/>
    </row>
    <row r="262" spans="1:9" s="4" customFormat="1" ht="29.25">
      <c r="A262" s="128" t="s">
        <v>314</v>
      </c>
      <c r="B262" s="92" t="s">
        <v>160</v>
      </c>
      <c r="C262" s="31" t="s">
        <v>153</v>
      </c>
      <c r="D262" s="31" t="s">
        <v>321</v>
      </c>
      <c r="E262" s="31" t="s">
        <v>44</v>
      </c>
      <c r="F262" s="74" t="s">
        <v>44</v>
      </c>
      <c r="G262" s="184">
        <f t="shared" si="7"/>
        <v>197</v>
      </c>
      <c r="H262" s="32">
        <f t="shared" si="7"/>
        <v>197</v>
      </c>
      <c r="I262" s="6"/>
    </row>
    <row r="263" spans="1:9" s="4" customFormat="1" ht="15.75">
      <c r="A263" s="129" t="s">
        <v>322</v>
      </c>
      <c r="B263" s="92" t="s">
        <v>160</v>
      </c>
      <c r="C263" s="31" t="s">
        <v>153</v>
      </c>
      <c r="D263" s="31" t="s">
        <v>323</v>
      </c>
      <c r="E263" s="31" t="s">
        <v>44</v>
      </c>
      <c r="F263" s="74" t="s">
        <v>44</v>
      </c>
      <c r="G263" s="184">
        <f t="shared" si="7"/>
        <v>197</v>
      </c>
      <c r="H263" s="32">
        <f t="shared" si="7"/>
        <v>197</v>
      </c>
      <c r="I263" s="6"/>
    </row>
    <row r="264" spans="1:9" s="4" customFormat="1" ht="16.5" thickBot="1">
      <c r="A264" s="240" t="s">
        <v>138</v>
      </c>
      <c r="B264" s="108" t="s">
        <v>160</v>
      </c>
      <c r="C264" s="43" t="s">
        <v>153</v>
      </c>
      <c r="D264" s="43" t="s">
        <v>323</v>
      </c>
      <c r="E264" s="43" t="s">
        <v>68</v>
      </c>
      <c r="F264" s="113" t="s">
        <v>68</v>
      </c>
      <c r="G264" s="241">
        <f>'Прилож №5'!H310</f>
        <v>197</v>
      </c>
      <c r="H264" s="44">
        <f>'Прилож №5'!I310</f>
        <v>197</v>
      </c>
      <c r="I264" s="6"/>
    </row>
    <row r="265" spans="1:9" s="4" customFormat="1" ht="16.5" thickBot="1">
      <c r="A265" s="75" t="s">
        <v>270</v>
      </c>
      <c r="B265" s="22" t="s">
        <v>157</v>
      </c>
      <c r="C265" s="24" t="s">
        <v>96</v>
      </c>
      <c r="D265" s="22" t="s">
        <v>42</v>
      </c>
      <c r="E265" s="24" t="s">
        <v>44</v>
      </c>
      <c r="F265" s="57"/>
      <c r="G265" s="146">
        <f>G266+G297+G278+G284+G288</f>
        <v>1417478.9000000001</v>
      </c>
      <c r="H265" s="25">
        <f>H266+H297+H278+H284+H288</f>
        <v>613659.0000000001</v>
      </c>
      <c r="I265" s="6"/>
    </row>
    <row r="266" spans="1:9" s="4" customFormat="1" ht="16.5" thickBot="1">
      <c r="A266" s="75" t="s">
        <v>182</v>
      </c>
      <c r="B266" s="22" t="s">
        <v>157</v>
      </c>
      <c r="C266" s="24" t="s">
        <v>151</v>
      </c>
      <c r="D266" s="22" t="s">
        <v>42</v>
      </c>
      <c r="E266" s="24" t="s">
        <v>44</v>
      </c>
      <c r="F266" s="22"/>
      <c r="G266" s="25">
        <f>G267+G272+G275</f>
        <v>618003.6</v>
      </c>
      <c r="H266" s="25">
        <f>H267+H272+H275</f>
        <v>402559.4</v>
      </c>
      <c r="I266" s="6"/>
    </row>
    <row r="267" spans="1:9" s="4" customFormat="1" ht="15.75">
      <c r="A267" s="129" t="s">
        <v>259</v>
      </c>
      <c r="B267" s="54" t="s">
        <v>157</v>
      </c>
      <c r="C267" s="102" t="s">
        <v>151</v>
      </c>
      <c r="D267" s="231" t="s">
        <v>38</v>
      </c>
      <c r="E267" s="228" t="s">
        <v>44</v>
      </c>
      <c r="F267" s="53"/>
      <c r="G267" s="55">
        <f>G268</f>
        <v>194459.59999999998</v>
      </c>
      <c r="H267" s="213">
        <f>H268</f>
        <v>2559.4</v>
      </c>
      <c r="I267" s="6"/>
    </row>
    <row r="268" spans="1:9" s="4" customFormat="1" ht="15.75">
      <c r="A268" s="126" t="s">
        <v>25</v>
      </c>
      <c r="B268" s="54" t="s">
        <v>157</v>
      </c>
      <c r="C268" s="102" t="s">
        <v>151</v>
      </c>
      <c r="D268" s="31" t="s">
        <v>183</v>
      </c>
      <c r="E268" s="187" t="s">
        <v>44</v>
      </c>
      <c r="F268" s="30"/>
      <c r="G268" s="32">
        <f>G269+G270</f>
        <v>194459.59999999998</v>
      </c>
      <c r="H268" s="32">
        <f>H269+H270</f>
        <v>2559.4</v>
      </c>
      <c r="I268" s="6"/>
    </row>
    <row r="269" spans="1:9" s="4" customFormat="1" ht="15.75">
      <c r="A269" s="126" t="s">
        <v>138</v>
      </c>
      <c r="B269" s="54" t="s">
        <v>157</v>
      </c>
      <c r="C269" s="102" t="s">
        <v>151</v>
      </c>
      <c r="D269" s="31" t="s">
        <v>183</v>
      </c>
      <c r="E269" s="187" t="s">
        <v>68</v>
      </c>
      <c r="F269" s="30"/>
      <c r="G269" s="32">
        <f>'Прилож №5'!H326</f>
        <v>193210.19999999998</v>
      </c>
      <c r="H269" s="32">
        <f>'Прилож №5'!I326</f>
        <v>1310</v>
      </c>
      <c r="I269" s="6"/>
    </row>
    <row r="270" spans="1:9" s="4" customFormat="1" ht="57.75">
      <c r="A270" s="217" t="s">
        <v>428</v>
      </c>
      <c r="B270" s="54" t="s">
        <v>157</v>
      </c>
      <c r="C270" s="92" t="s">
        <v>151</v>
      </c>
      <c r="D270" s="31" t="s">
        <v>429</v>
      </c>
      <c r="E270" s="30" t="s">
        <v>44</v>
      </c>
      <c r="F270" s="103" t="s">
        <v>44</v>
      </c>
      <c r="G270" s="32">
        <f>G271</f>
        <v>1249.4</v>
      </c>
      <c r="H270" s="32">
        <f>H271</f>
        <v>1249.4</v>
      </c>
      <c r="I270" s="6"/>
    </row>
    <row r="271" spans="1:9" s="4" customFormat="1" ht="15.75">
      <c r="A271" s="189" t="s">
        <v>138</v>
      </c>
      <c r="B271" s="54" t="s">
        <v>157</v>
      </c>
      <c r="C271" s="92" t="s">
        <v>151</v>
      </c>
      <c r="D271" s="31" t="s">
        <v>429</v>
      </c>
      <c r="E271" s="30" t="s">
        <v>68</v>
      </c>
      <c r="F271" s="103" t="s">
        <v>68</v>
      </c>
      <c r="G271" s="32">
        <f>'Прилож №5'!H328</f>
        <v>1249.4</v>
      </c>
      <c r="H271" s="32">
        <f>'Прилож №5'!I328</f>
        <v>1249.4</v>
      </c>
      <c r="I271" s="6"/>
    </row>
    <row r="272" spans="1:9" s="4" customFormat="1" ht="15.75">
      <c r="A272" s="126" t="s">
        <v>227</v>
      </c>
      <c r="B272" s="54" t="s">
        <v>157</v>
      </c>
      <c r="C272" s="102" t="s">
        <v>151</v>
      </c>
      <c r="D272" s="31" t="s">
        <v>228</v>
      </c>
      <c r="E272" s="187" t="s">
        <v>44</v>
      </c>
      <c r="F272" s="30"/>
      <c r="G272" s="32">
        <f>G273</f>
        <v>23544</v>
      </c>
      <c r="H272" s="32">
        <f>H273</f>
        <v>0</v>
      </c>
      <c r="I272" s="6"/>
    </row>
    <row r="273" spans="1:9" s="4" customFormat="1" ht="15.75">
      <c r="A273" s="126" t="s">
        <v>25</v>
      </c>
      <c r="B273" s="54" t="s">
        <v>157</v>
      </c>
      <c r="C273" s="102" t="s">
        <v>151</v>
      </c>
      <c r="D273" s="31" t="s">
        <v>229</v>
      </c>
      <c r="E273" s="187" t="s">
        <v>44</v>
      </c>
      <c r="F273" s="30"/>
      <c r="G273" s="32">
        <f>G274</f>
        <v>23544</v>
      </c>
      <c r="H273" s="32">
        <f>H274</f>
        <v>0</v>
      </c>
      <c r="I273" s="6"/>
    </row>
    <row r="274" spans="1:9" s="4" customFormat="1" ht="15.75">
      <c r="A274" s="126" t="s">
        <v>138</v>
      </c>
      <c r="B274" s="54" t="s">
        <v>157</v>
      </c>
      <c r="C274" s="102" t="s">
        <v>151</v>
      </c>
      <c r="D274" s="31" t="s">
        <v>229</v>
      </c>
      <c r="E274" s="187" t="s">
        <v>68</v>
      </c>
      <c r="F274" s="30"/>
      <c r="G274" s="32">
        <f>'Прилож №5'!H331</f>
        <v>23544</v>
      </c>
      <c r="H274" s="32">
        <f>'Прилож №5'!I331</f>
        <v>0</v>
      </c>
      <c r="I274" s="6"/>
    </row>
    <row r="275" spans="1:9" s="4" customFormat="1" ht="29.25">
      <c r="A275" s="142" t="s">
        <v>374</v>
      </c>
      <c r="B275" s="54" t="s">
        <v>157</v>
      </c>
      <c r="C275" s="53" t="s">
        <v>151</v>
      </c>
      <c r="D275" s="31" t="s">
        <v>373</v>
      </c>
      <c r="E275" s="30" t="s">
        <v>44</v>
      </c>
      <c r="F275" s="226" t="s">
        <v>44</v>
      </c>
      <c r="G275" s="32">
        <f>G276</f>
        <v>400000</v>
      </c>
      <c r="H275" s="32">
        <f>H276</f>
        <v>400000</v>
      </c>
      <c r="I275" s="6"/>
    </row>
    <row r="276" spans="1:9" s="4" customFormat="1" ht="29.25">
      <c r="A276" s="142" t="s">
        <v>381</v>
      </c>
      <c r="B276" s="54" t="s">
        <v>157</v>
      </c>
      <c r="C276" s="53" t="s">
        <v>151</v>
      </c>
      <c r="D276" s="31" t="s">
        <v>375</v>
      </c>
      <c r="E276" s="30" t="s">
        <v>44</v>
      </c>
      <c r="F276" s="226" t="s">
        <v>44</v>
      </c>
      <c r="G276" s="32">
        <f>G277</f>
        <v>400000</v>
      </c>
      <c r="H276" s="32">
        <f>H277</f>
        <v>400000</v>
      </c>
      <c r="I276" s="6"/>
    </row>
    <row r="277" spans="1:9" s="4" customFormat="1" ht="15.75">
      <c r="A277" s="204" t="s">
        <v>171</v>
      </c>
      <c r="B277" s="54" t="s">
        <v>157</v>
      </c>
      <c r="C277" s="53" t="s">
        <v>151</v>
      </c>
      <c r="D277" s="31" t="s">
        <v>375</v>
      </c>
      <c r="E277" s="30" t="s">
        <v>53</v>
      </c>
      <c r="F277" s="226" t="s">
        <v>53</v>
      </c>
      <c r="G277" s="32">
        <f>'Прилож №5'!H137</f>
        <v>400000</v>
      </c>
      <c r="H277" s="32">
        <f>'Прилож №5'!I137</f>
        <v>400000</v>
      </c>
      <c r="I277" s="6"/>
    </row>
    <row r="278" spans="1:9" s="3" customFormat="1" ht="15.75">
      <c r="A278" s="118" t="s">
        <v>230</v>
      </c>
      <c r="B278" s="64" t="s">
        <v>157</v>
      </c>
      <c r="C278" s="89" t="s">
        <v>152</v>
      </c>
      <c r="D278" s="35" t="s">
        <v>42</v>
      </c>
      <c r="E278" s="229" t="s">
        <v>44</v>
      </c>
      <c r="F278" s="34"/>
      <c r="G278" s="36">
        <f>G279</f>
        <v>319920.5</v>
      </c>
      <c r="H278" s="36">
        <f>H279</f>
        <v>8945.3</v>
      </c>
      <c r="I278" s="9"/>
    </row>
    <row r="279" spans="1:9" s="4" customFormat="1" ht="15.75">
      <c r="A279" s="126" t="s">
        <v>231</v>
      </c>
      <c r="B279" s="54" t="s">
        <v>157</v>
      </c>
      <c r="C279" s="102" t="s">
        <v>152</v>
      </c>
      <c r="D279" s="31" t="s">
        <v>232</v>
      </c>
      <c r="E279" s="187" t="s">
        <v>44</v>
      </c>
      <c r="F279" s="30"/>
      <c r="G279" s="32">
        <f>G280</f>
        <v>319920.5</v>
      </c>
      <c r="H279" s="32">
        <f>H280</f>
        <v>8945.3</v>
      </c>
      <c r="I279" s="6"/>
    </row>
    <row r="280" spans="1:9" s="4" customFormat="1" ht="15.75">
      <c r="A280" s="126" t="s">
        <v>25</v>
      </c>
      <c r="B280" s="54" t="s">
        <v>157</v>
      </c>
      <c r="C280" s="102" t="s">
        <v>152</v>
      </c>
      <c r="D280" s="31" t="s">
        <v>233</v>
      </c>
      <c r="E280" s="187" t="s">
        <v>44</v>
      </c>
      <c r="F280" s="30"/>
      <c r="G280" s="32">
        <f>G281+G282</f>
        <v>319920.5</v>
      </c>
      <c r="H280" s="32">
        <f>H281+H282</f>
        <v>8945.3</v>
      </c>
      <c r="I280" s="6"/>
    </row>
    <row r="281" spans="1:9" s="4" customFormat="1" ht="15.75">
      <c r="A281" s="126" t="s">
        <v>138</v>
      </c>
      <c r="B281" s="54" t="s">
        <v>157</v>
      </c>
      <c r="C281" s="102" t="s">
        <v>152</v>
      </c>
      <c r="D281" s="31" t="s">
        <v>233</v>
      </c>
      <c r="E281" s="187" t="s">
        <v>68</v>
      </c>
      <c r="F281" s="30"/>
      <c r="G281" s="32">
        <f>'Прилож №5'!H335</f>
        <v>319472.2</v>
      </c>
      <c r="H281" s="32">
        <f>'Прилож №5'!I335</f>
        <v>8497</v>
      </c>
      <c r="I281" s="6"/>
    </row>
    <row r="282" spans="1:9" s="4" customFormat="1" ht="57.75">
      <c r="A282" s="217" t="s">
        <v>430</v>
      </c>
      <c r="B282" s="54" t="s">
        <v>157</v>
      </c>
      <c r="C282" s="92" t="s">
        <v>152</v>
      </c>
      <c r="D282" s="31" t="s">
        <v>431</v>
      </c>
      <c r="E282" s="30" t="s">
        <v>44</v>
      </c>
      <c r="F282" s="103" t="s">
        <v>44</v>
      </c>
      <c r="G282" s="32">
        <f>G283</f>
        <v>448.3</v>
      </c>
      <c r="H282" s="32">
        <f>H283</f>
        <v>448.3</v>
      </c>
      <c r="I282" s="6"/>
    </row>
    <row r="283" spans="1:9" s="4" customFormat="1" ht="15.75">
      <c r="A283" s="189" t="s">
        <v>138</v>
      </c>
      <c r="B283" s="54" t="s">
        <v>157</v>
      </c>
      <c r="C283" s="92" t="s">
        <v>152</v>
      </c>
      <c r="D283" s="31" t="s">
        <v>431</v>
      </c>
      <c r="E283" s="30" t="s">
        <v>68</v>
      </c>
      <c r="F283" s="103" t="s">
        <v>68</v>
      </c>
      <c r="G283" s="32">
        <f>'Прилож №5'!H337</f>
        <v>448.3</v>
      </c>
      <c r="H283" s="32">
        <f>'Прилож №5'!I337</f>
        <v>448.3</v>
      </c>
      <c r="I283" s="6"/>
    </row>
    <row r="284" spans="1:9" s="3" customFormat="1" ht="15.75">
      <c r="A284" s="118" t="s">
        <v>234</v>
      </c>
      <c r="B284" s="64" t="s">
        <v>157</v>
      </c>
      <c r="C284" s="89" t="s">
        <v>156</v>
      </c>
      <c r="D284" s="35" t="s">
        <v>42</v>
      </c>
      <c r="E284" s="229" t="s">
        <v>44</v>
      </c>
      <c r="F284" s="34"/>
      <c r="G284" s="36">
        <f aca="true" t="shared" si="8" ref="G284:H286">G285</f>
        <v>4477.6</v>
      </c>
      <c r="H284" s="36">
        <f t="shared" si="8"/>
        <v>0</v>
      </c>
      <c r="I284" s="9"/>
    </row>
    <row r="285" spans="1:9" s="4" customFormat="1" ht="15.75">
      <c r="A285" s="125" t="s">
        <v>259</v>
      </c>
      <c r="B285" s="54" t="s">
        <v>157</v>
      </c>
      <c r="C285" s="102" t="s">
        <v>156</v>
      </c>
      <c r="D285" s="31" t="s">
        <v>38</v>
      </c>
      <c r="E285" s="187" t="s">
        <v>44</v>
      </c>
      <c r="F285" s="30"/>
      <c r="G285" s="32">
        <f t="shared" si="8"/>
        <v>4477.6</v>
      </c>
      <c r="H285" s="32">
        <f t="shared" si="8"/>
        <v>0</v>
      </c>
      <c r="I285" s="6"/>
    </row>
    <row r="286" spans="1:9" s="4" customFormat="1" ht="15.75">
      <c r="A286" s="126" t="s">
        <v>25</v>
      </c>
      <c r="B286" s="54" t="s">
        <v>157</v>
      </c>
      <c r="C286" s="102" t="s">
        <v>156</v>
      </c>
      <c r="D286" s="31" t="s">
        <v>183</v>
      </c>
      <c r="E286" s="187" t="s">
        <v>44</v>
      </c>
      <c r="F286" s="30"/>
      <c r="G286" s="32">
        <f t="shared" si="8"/>
        <v>4477.6</v>
      </c>
      <c r="H286" s="32">
        <f t="shared" si="8"/>
        <v>0</v>
      </c>
      <c r="I286" s="6"/>
    </row>
    <row r="287" spans="1:9" s="4" customFormat="1" ht="15.75">
      <c r="A287" s="126" t="s">
        <v>138</v>
      </c>
      <c r="B287" s="54" t="s">
        <v>157</v>
      </c>
      <c r="C287" s="102" t="s">
        <v>156</v>
      </c>
      <c r="D287" s="31" t="s">
        <v>183</v>
      </c>
      <c r="E287" s="187" t="s">
        <v>68</v>
      </c>
      <c r="F287" s="30"/>
      <c r="G287" s="32">
        <f>'Прилож №5'!H341</f>
        <v>4477.6</v>
      </c>
      <c r="H287" s="32">
        <f>'Прилож №5'!I341</f>
        <v>0</v>
      </c>
      <c r="I287" s="6"/>
    </row>
    <row r="288" spans="1:9" s="3" customFormat="1" ht="15.75">
      <c r="A288" s="118" t="s">
        <v>235</v>
      </c>
      <c r="B288" s="64" t="s">
        <v>157</v>
      </c>
      <c r="C288" s="89" t="s">
        <v>153</v>
      </c>
      <c r="D288" s="35" t="s">
        <v>42</v>
      </c>
      <c r="E288" s="229" t="s">
        <v>44</v>
      </c>
      <c r="F288" s="34"/>
      <c r="G288" s="36">
        <f>G289+G294</f>
        <v>52045.600000000006</v>
      </c>
      <c r="H288" s="36">
        <f>H289+H294</f>
        <v>4191.3</v>
      </c>
      <c r="I288" s="9"/>
    </row>
    <row r="289" spans="1:9" s="4" customFormat="1" ht="15.75">
      <c r="A289" s="126" t="s">
        <v>236</v>
      </c>
      <c r="B289" s="54" t="s">
        <v>157</v>
      </c>
      <c r="C289" s="102" t="s">
        <v>153</v>
      </c>
      <c r="D289" s="31" t="s">
        <v>237</v>
      </c>
      <c r="E289" s="187" t="s">
        <v>44</v>
      </c>
      <c r="F289" s="30"/>
      <c r="G289" s="32">
        <f>G290</f>
        <v>49436.600000000006</v>
      </c>
      <c r="H289" s="32">
        <f>H290</f>
        <v>1582.3</v>
      </c>
      <c r="I289" s="6"/>
    </row>
    <row r="290" spans="1:9" s="4" customFormat="1" ht="15.75">
      <c r="A290" s="126" t="s">
        <v>25</v>
      </c>
      <c r="B290" s="54" t="s">
        <v>157</v>
      </c>
      <c r="C290" s="102" t="s">
        <v>153</v>
      </c>
      <c r="D290" s="31" t="s">
        <v>238</v>
      </c>
      <c r="E290" s="187" t="s">
        <v>44</v>
      </c>
      <c r="F290" s="30"/>
      <c r="G290" s="32">
        <f>G291+G292</f>
        <v>49436.600000000006</v>
      </c>
      <c r="H290" s="32">
        <f>H291+H292</f>
        <v>1582.3</v>
      </c>
      <c r="I290" s="6"/>
    </row>
    <row r="291" spans="1:9" s="4" customFormat="1" ht="15.75">
      <c r="A291" s="126" t="s">
        <v>138</v>
      </c>
      <c r="B291" s="54" t="s">
        <v>157</v>
      </c>
      <c r="C291" s="102" t="s">
        <v>153</v>
      </c>
      <c r="D291" s="31" t="s">
        <v>238</v>
      </c>
      <c r="E291" s="187" t="s">
        <v>68</v>
      </c>
      <c r="F291" s="30"/>
      <c r="G291" s="32">
        <f>'Прилож №5'!H345</f>
        <v>48754.3</v>
      </c>
      <c r="H291" s="32">
        <f>'Прилож №5'!I345</f>
        <v>900</v>
      </c>
      <c r="I291" s="6"/>
    </row>
    <row r="292" spans="1:9" s="4" customFormat="1" ht="43.5">
      <c r="A292" s="217" t="s">
        <v>432</v>
      </c>
      <c r="B292" s="54" t="s">
        <v>157</v>
      </c>
      <c r="C292" s="92" t="s">
        <v>153</v>
      </c>
      <c r="D292" s="31" t="s">
        <v>433</v>
      </c>
      <c r="E292" s="30" t="s">
        <v>44</v>
      </c>
      <c r="F292" s="74" t="s">
        <v>44</v>
      </c>
      <c r="G292" s="32">
        <f>G293</f>
        <v>682.3</v>
      </c>
      <c r="H292" s="32">
        <f>H293</f>
        <v>682.3</v>
      </c>
      <c r="I292" s="6"/>
    </row>
    <row r="293" spans="1:9" s="4" customFormat="1" ht="15.75">
      <c r="A293" s="189" t="s">
        <v>138</v>
      </c>
      <c r="B293" s="54" t="s">
        <v>157</v>
      </c>
      <c r="C293" s="92" t="s">
        <v>153</v>
      </c>
      <c r="D293" s="31" t="s">
        <v>433</v>
      </c>
      <c r="E293" s="30" t="s">
        <v>68</v>
      </c>
      <c r="F293" s="74" t="s">
        <v>68</v>
      </c>
      <c r="G293" s="32">
        <f>'Прилож №5'!H347</f>
        <v>682.3</v>
      </c>
      <c r="H293" s="32">
        <f>'Прилож №5'!I347</f>
        <v>682.3</v>
      </c>
      <c r="I293" s="6"/>
    </row>
    <row r="294" spans="1:9" s="4" customFormat="1" ht="15.75">
      <c r="A294" s="126" t="s">
        <v>95</v>
      </c>
      <c r="B294" s="54" t="s">
        <v>157</v>
      </c>
      <c r="C294" s="102" t="s">
        <v>153</v>
      </c>
      <c r="D294" s="31" t="s">
        <v>75</v>
      </c>
      <c r="E294" s="187" t="s">
        <v>44</v>
      </c>
      <c r="F294" s="30"/>
      <c r="G294" s="32">
        <f>G295</f>
        <v>2609</v>
      </c>
      <c r="H294" s="32">
        <f>H295</f>
        <v>2609</v>
      </c>
      <c r="I294" s="6"/>
    </row>
    <row r="295" spans="1:9" s="4" customFormat="1" ht="43.5">
      <c r="A295" s="134" t="s">
        <v>239</v>
      </c>
      <c r="B295" s="54" t="s">
        <v>157</v>
      </c>
      <c r="C295" s="102" t="s">
        <v>153</v>
      </c>
      <c r="D295" s="31" t="s">
        <v>205</v>
      </c>
      <c r="E295" s="187" t="s">
        <v>44</v>
      </c>
      <c r="F295" s="30"/>
      <c r="G295" s="32">
        <f>G296</f>
        <v>2609</v>
      </c>
      <c r="H295" s="32">
        <f>H296</f>
        <v>2609</v>
      </c>
      <c r="I295" s="6"/>
    </row>
    <row r="296" spans="1:9" s="4" customFormat="1" ht="15.75">
      <c r="A296" s="126" t="s">
        <v>138</v>
      </c>
      <c r="B296" s="54" t="s">
        <v>157</v>
      </c>
      <c r="C296" s="102" t="s">
        <v>153</v>
      </c>
      <c r="D296" s="31" t="s">
        <v>205</v>
      </c>
      <c r="E296" s="187" t="s">
        <v>68</v>
      </c>
      <c r="F296" s="30"/>
      <c r="G296" s="32">
        <f>'Прилож №5'!H350</f>
        <v>2609</v>
      </c>
      <c r="H296" s="32">
        <f>'Прилож №5'!I350</f>
        <v>2609</v>
      </c>
      <c r="I296" s="6"/>
    </row>
    <row r="297" spans="1:9" s="4" customFormat="1" ht="15.75">
      <c r="A297" s="76" t="s">
        <v>268</v>
      </c>
      <c r="B297" s="64" t="s">
        <v>157</v>
      </c>
      <c r="C297" s="93" t="s">
        <v>157</v>
      </c>
      <c r="D297" s="69" t="s">
        <v>42</v>
      </c>
      <c r="E297" s="229" t="s">
        <v>44</v>
      </c>
      <c r="F297" s="34"/>
      <c r="G297" s="36">
        <f>G302+G298</f>
        <v>423031.6</v>
      </c>
      <c r="H297" s="36">
        <f>H302+H298</f>
        <v>197963</v>
      </c>
      <c r="I297" s="6"/>
    </row>
    <row r="298" spans="1:9" s="4" customFormat="1" ht="15.75">
      <c r="A298" s="127" t="s">
        <v>363</v>
      </c>
      <c r="B298" s="31" t="s">
        <v>157</v>
      </c>
      <c r="C298" s="92" t="s">
        <v>157</v>
      </c>
      <c r="D298" s="40" t="s">
        <v>362</v>
      </c>
      <c r="E298" s="30" t="s">
        <v>44</v>
      </c>
      <c r="F298" s="30"/>
      <c r="G298" s="32">
        <f>G299</f>
        <v>179763</v>
      </c>
      <c r="H298" s="32">
        <f>H299</f>
        <v>179763</v>
      </c>
      <c r="I298" s="6"/>
    </row>
    <row r="299" spans="1:9" s="4" customFormat="1" ht="43.5">
      <c r="A299" s="128" t="s">
        <v>409</v>
      </c>
      <c r="B299" s="31" t="s">
        <v>157</v>
      </c>
      <c r="C299" s="92" t="s">
        <v>157</v>
      </c>
      <c r="D299" s="40" t="s">
        <v>359</v>
      </c>
      <c r="E299" s="30" t="s">
        <v>44</v>
      </c>
      <c r="F299" s="30"/>
      <c r="G299" s="32">
        <f>'Прилож №5'!H353</f>
        <v>179763</v>
      </c>
      <c r="H299" s="32">
        <f>'Прилож №5'!I353</f>
        <v>179763</v>
      </c>
      <c r="I299" s="6"/>
    </row>
    <row r="300" spans="1:9" s="4" customFormat="1" ht="28.5">
      <c r="A300" s="170" t="s">
        <v>410</v>
      </c>
      <c r="B300" s="31" t="s">
        <v>157</v>
      </c>
      <c r="C300" s="92" t="s">
        <v>157</v>
      </c>
      <c r="D300" s="40" t="s">
        <v>359</v>
      </c>
      <c r="E300" s="30" t="s">
        <v>44</v>
      </c>
      <c r="F300" s="74" t="s">
        <v>44</v>
      </c>
      <c r="G300" s="32">
        <f>G301</f>
        <v>179763</v>
      </c>
      <c r="H300" s="32">
        <f>H301</f>
        <v>179763</v>
      </c>
      <c r="I300" s="6"/>
    </row>
    <row r="301" spans="1:9" s="4" customFormat="1" ht="15.75">
      <c r="A301" s="145" t="s">
        <v>138</v>
      </c>
      <c r="B301" s="31" t="s">
        <v>157</v>
      </c>
      <c r="C301" s="92" t="s">
        <v>157</v>
      </c>
      <c r="D301" s="40" t="s">
        <v>359</v>
      </c>
      <c r="E301" s="30" t="s">
        <v>68</v>
      </c>
      <c r="F301" s="74" t="s">
        <v>68</v>
      </c>
      <c r="G301" s="32">
        <f>'Прилож №5'!H355</f>
        <v>179763</v>
      </c>
      <c r="H301" s="32">
        <f>'Прилож №5'!I355</f>
        <v>179763</v>
      </c>
      <c r="I301" s="6"/>
    </row>
    <row r="302" spans="1:9" s="4" customFormat="1" ht="15.75">
      <c r="A302" s="125" t="s">
        <v>100</v>
      </c>
      <c r="B302" s="40" t="s">
        <v>157</v>
      </c>
      <c r="C302" s="98" t="s">
        <v>157</v>
      </c>
      <c r="D302" s="31" t="s">
        <v>101</v>
      </c>
      <c r="E302" s="187" t="s">
        <v>44</v>
      </c>
      <c r="F302" s="30"/>
      <c r="G302" s="32">
        <f>G304+G306+G307</f>
        <v>243268.6</v>
      </c>
      <c r="H302" s="32">
        <f>H304+H306+H307</f>
        <v>18200</v>
      </c>
      <c r="I302" s="6"/>
    </row>
    <row r="303" spans="1:9" s="4" customFormat="1" ht="57">
      <c r="A303" s="132" t="s">
        <v>242</v>
      </c>
      <c r="B303" s="40" t="s">
        <v>157</v>
      </c>
      <c r="C303" s="98" t="s">
        <v>157</v>
      </c>
      <c r="D303" s="31" t="s">
        <v>209</v>
      </c>
      <c r="E303" s="187" t="s">
        <v>44</v>
      </c>
      <c r="F303" s="30"/>
      <c r="G303" s="32">
        <f>G304</f>
        <v>1000</v>
      </c>
      <c r="H303" s="32">
        <f>H304</f>
        <v>0</v>
      </c>
      <c r="I303" s="6"/>
    </row>
    <row r="304" spans="1:9" s="4" customFormat="1" ht="15.75">
      <c r="A304" s="126" t="s">
        <v>138</v>
      </c>
      <c r="B304" s="40" t="s">
        <v>157</v>
      </c>
      <c r="C304" s="98" t="s">
        <v>157</v>
      </c>
      <c r="D304" s="31" t="s">
        <v>209</v>
      </c>
      <c r="E304" s="187" t="s">
        <v>68</v>
      </c>
      <c r="F304" s="30"/>
      <c r="G304" s="32">
        <f>'Прилож №5'!H358</f>
        <v>1000</v>
      </c>
      <c r="H304" s="32">
        <f>'Прилож №5'!I358</f>
        <v>0</v>
      </c>
      <c r="I304" s="6"/>
    </row>
    <row r="305" spans="1:9" s="4" customFormat="1" ht="42.75">
      <c r="A305" s="139" t="s">
        <v>300</v>
      </c>
      <c r="B305" s="40" t="s">
        <v>157</v>
      </c>
      <c r="C305" s="98" t="s">
        <v>157</v>
      </c>
      <c r="D305" s="31" t="s">
        <v>299</v>
      </c>
      <c r="E305" s="187" t="s">
        <v>44</v>
      </c>
      <c r="F305" s="61"/>
      <c r="G305" s="32">
        <f>G306</f>
        <v>2000</v>
      </c>
      <c r="H305" s="32">
        <f>H306</f>
        <v>0</v>
      </c>
      <c r="I305" s="6"/>
    </row>
    <row r="306" spans="1:9" s="4" customFormat="1" ht="15.75">
      <c r="A306" s="125" t="s">
        <v>138</v>
      </c>
      <c r="B306" s="31" t="s">
        <v>157</v>
      </c>
      <c r="C306" s="92" t="s">
        <v>157</v>
      </c>
      <c r="D306" s="31" t="s">
        <v>299</v>
      </c>
      <c r="E306" s="187" t="s">
        <v>68</v>
      </c>
      <c r="F306" s="61"/>
      <c r="G306" s="32">
        <f>'Прилож №5'!H360</f>
        <v>2000</v>
      </c>
      <c r="H306" s="32">
        <f>'Прилож №5'!I360</f>
        <v>0</v>
      </c>
      <c r="I306" s="6"/>
    </row>
    <row r="307" spans="1:9" s="4" customFormat="1" ht="47.25" customHeight="1">
      <c r="A307" s="140" t="s">
        <v>301</v>
      </c>
      <c r="B307" s="31" t="s">
        <v>157</v>
      </c>
      <c r="C307" s="92" t="s">
        <v>157</v>
      </c>
      <c r="D307" s="31" t="s">
        <v>302</v>
      </c>
      <c r="E307" s="187" t="s">
        <v>44</v>
      </c>
      <c r="F307" s="61"/>
      <c r="G307" s="32">
        <f>G308+G309</f>
        <v>240268.6</v>
      </c>
      <c r="H307" s="32">
        <f>H309</f>
        <v>18200</v>
      </c>
      <c r="I307" s="6"/>
    </row>
    <row r="308" spans="1:9" s="4" customFormat="1" ht="16.5" customHeight="1">
      <c r="A308" s="125" t="s">
        <v>138</v>
      </c>
      <c r="B308" s="31" t="s">
        <v>157</v>
      </c>
      <c r="C308" s="92" t="s">
        <v>157</v>
      </c>
      <c r="D308" s="31" t="s">
        <v>302</v>
      </c>
      <c r="E308" s="187" t="s">
        <v>68</v>
      </c>
      <c r="F308" s="61"/>
      <c r="G308" s="32">
        <f>'Прилож №5'!H362</f>
        <v>73568</v>
      </c>
      <c r="H308" s="32">
        <f>'Прилож №5'!I362</f>
        <v>18200</v>
      </c>
      <c r="I308" s="6"/>
    </row>
    <row r="309" spans="1:9" s="4" customFormat="1" ht="16.5" thickBot="1">
      <c r="A309" s="204" t="s">
        <v>171</v>
      </c>
      <c r="B309" s="209" t="s">
        <v>157</v>
      </c>
      <c r="C309" s="227" t="s">
        <v>157</v>
      </c>
      <c r="D309" s="232" t="s">
        <v>302</v>
      </c>
      <c r="E309" s="230" t="s">
        <v>53</v>
      </c>
      <c r="F309" s="211"/>
      <c r="G309" s="214">
        <f>'Прилож №5'!H141</f>
        <v>166700.6</v>
      </c>
      <c r="H309" s="214">
        <f>'Прилож №5'!I362</f>
        <v>18200</v>
      </c>
      <c r="I309" s="6"/>
    </row>
    <row r="310" spans="1:9" s="4" customFormat="1" ht="16.5" thickBot="1">
      <c r="A310" s="75" t="s">
        <v>5</v>
      </c>
      <c r="B310" s="22" t="s">
        <v>158</v>
      </c>
      <c r="C310" s="24" t="s">
        <v>96</v>
      </c>
      <c r="D310" s="22" t="s">
        <v>42</v>
      </c>
      <c r="E310" s="24" t="s">
        <v>44</v>
      </c>
      <c r="F310" s="179" t="s">
        <v>203</v>
      </c>
      <c r="G310" s="146">
        <f>G311+G315+G339+G335</f>
        <v>126052.5</v>
      </c>
      <c r="H310" s="25">
        <f>H311+H315+H339+H335</f>
        <v>111004.4</v>
      </c>
      <c r="I310" s="6"/>
    </row>
    <row r="311" spans="1:9" s="4" customFormat="1" ht="15.75">
      <c r="A311" s="17" t="s">
        <v>41</v>
      </c>
      <c r="B311" s="64" t="s">
        <v>158</v>
      </c>
      <c r="C311" s="106" t="s">
        <v>151</v>
      </c>
      <c r="D311" s="122" t="s">
        <v>42</v>
      </c>
      <c r="E311" s="233" t="s">
        <v>44</v>
      </c>
      <c r="F311" s="38"/>
      <c r="G311" s="66">
        <f aca="true" t="shared" si="9" ref="G311:H313">G312</f>
        <v>1390</v>
      </c>
      <c r="H311" s="66">
        <f t="shared" si="9"/>
        <v>0</v>
      </c>
      <c r="I311" s="6"/>
    </row>
    <row r="312" spans="1:9" s="4" customFormat="1" ht="15.75">
      <c r="A312" s="125" t="s">
        <v>186</v>
      </c>
      <c r="B312" s="31" t="s">
        <v>158</v>
      </c>
      <c r="C312" s="92" t="s">
        <v>151</v>
      </c>
      <c r="D312" s="31" t="s">
        <v>187</v>
      </c>
      <c r="E312" s="187" t="s">
        <v>44</v>
      </c>
      <c r="F312" s="30"/>
      <c r="G312" s="32">
        <f t="shared" si="9"/>
        <v>1390</v>
      </c>
      <c r="H312" s="32">
        <f t="shared" si="9"/>
        <v>0</v>
      </c>
      <c r="I312" s="6"/>
    </row>
    <row r="313" spans="1:9" s="4" customFormat="1" ht="29.25">
      <c r="A313" s="127" t="s">
        <v>89</v>
      </c>
      <c r="B313" s="31" t="s">
        <v>158</v>
      </c>
      <c r="C313" s="92" t="s">
        <v>151</v>
      </c>
      <c r="D313" s="31" t="s">
        <v>188</v>
      </c>
      <c r="E313" s="187" t="s">
        <v>44</v>
      </c>
      <c r="F313" s="30"/>
      <c r="G313" s="32">
        <f t="shared" si="9"/>
        <v>1390</v>
      </c>
      <c r="H313" s="32">
        <f t="shared" si="9"/>
        <v>0</v>
      </c>
      <c r="I313" s="6"/>
    </row>
    <row r="314" spans="1:9" s="4" customFormat="1" ht="15.75">
      <c r="A314" s="127" t="s">
        <v>134</v>
      </c>
      <c r="B314" s="31" t="s">
        <v>158</v>
      </c>
      <c r="C314" s="92" t="s">
        <v>151</v>
      </c>
      <c r="D314" s="31" t="s">
        <v>188</v>
      </c>
      <c r="E314" s="234" t="s">
        <v>46</v>
      </c>
      <c r="F314" s="30"/>
      <c r="G314" s="32">
        <f>'Прилож №5'!H146</f>
        <v>1390</v>
      </c>
      <c r="H314" s="32">
        <f>'Прилож №5'!I146</f>
        <v>0</v>
      </c>
      <c r="I314" s="6"/>
    </row>
    <row r="315" spans="1:9" s="4" customFormat="1" ht="15.75">
      <c r="A315" s="58" t="s">
        <v>76</v>
      </c>
      <c r="B315" s="35" t="s">
        <v>158</v>
      </c>
      <c r="C315" s="93" t="s">
        <v>156</v>
      </c>
      <c r="D315" s="35" t="s">
        <v>42</v>
      </c>
      <c r="E315" s="229" t="s">
        <v>44</v>
      </c>
      <c r="F315" s="80"/>
      <c r="G315" s="36">
        <f>G316+G332</f>
        <v>111840.8</v>
      </c>
      <c r="H315" s="36">
        <f>H316+H332</f>
        <v>102643.4</v>
      </c>
      <c r="I315" s="6"/>
    </row>
    <row r="316" spans="1:9" s="4" customFormat="1" ht="15.75">
      <c r="A316" s="125" t="s">
        <v>189</v>
      </c>
      <c r="B316" s="31" t="s">
        <v>158</v>
      </c>
      <c r="C316" s="92" t="s">
        <v>156</v>
      </c>
      <c r="D316" s="31" t="s">
        <v>42</v>
      </c>
      <c r="E316" s="187" t="s">
        <v>44</v>
      </c>
      <c r="F316" s="81"/>
      <c r="G316" s="32">
        <f>G329+G331+G326+G321+G317</f>
        <v>110132.2</v>
      </c>
      <c r="H316" s="32">
        <f>H329+H331+H326+H321+H317</f>
        <v>102643.4</v>
      </c>
      <c r="I316" s="6"/>
    </row>
    <row r="317" spans="1:9" s="4" customFormat="1" ht="15.75">
      <c r="A317" s="52" t="s">
        <v>377</v>
      </c>
      <c r="B317" s="31" t="s">
        <v>158</v>
      </c>
      <c r="C317" s="92" t="s">
        <v>156</v>
      </c>
      <c r="D317" s="31" t="s">
        <v>376</v>
      </c>
      <c r="E317" s="30" t="s">
        <v>44</v>
      </c>
      <c r="F317" s="74" t="s">
        <v>44</v>
      </c>
      <c r="G317" s="32">
        <f aca="true" t="shared" si="10" ref="G317:H319">G318</f>
        <v>57719</v>
      </c>
      <c r="H317" s="32">
        <f t="shared" si="10"/>
        <v>57719</v>
      </c>
      <c r="I317" s="6"/>
    </row>
    <row r="318" spans="1:9" s="4" customFormat="1" ht="15.75">
      <c r="A318" s="142" t="s">
        <v>379</v>
      </c>
      <c r="B318" s="31" t="s">
        <v>158</v>
      </c>
      <c r="C318" s="92" t="s">
        <v>156</v>
      </c>
      <c r="D318" s="31" t="s">
        <v>378</v>
      </c>
      <c r="E318" s="30" t="s">
        <v>44</v>
      </c>
      <c r="F318" s="74" t="s">
        <v>44</v>
      </c>
      <c r="G318" s="32">
        <f t="shared" si="10"/>
        <v>57719</v>
      </c>
      <c r="H318" s="32">
        <f t="shared" si="10"/>
        <v>57719</v>
      </c>
      <c r="I318" s="6"/>
    </row>
    <row r="319" spans="1:9" s="4" customFormat="1" ht="33" customHeight="1">
      <c r="A319" s="142" t="s">
        <v>397</v>
      </c>
      <c r="B319" s="31" t="s">
        <v>158</v>
      </c>
      <c r="C319" s="92" t="s">
        <v>156</v>
      </c>
      <c r="D319" s="31" t="s">
        <v>396</v>
      </c>
      <c r="E319" s="30" t="s">
        <v>44</v>
      </c>
      <c r="F319" s="74" t="s">
        <v>44</v>
      </c>
      <c r="G319" s="32">
        <f t="shared" si="10"/>
        <v>57719</v>
      </c>
      <c r="H319" s="32">
        <f t="shared" si="10"/>
        <v>57719</v>
      </c>
      <c r="I319" s="6"/>
    </row>
    <row r="320" spans="1:9" s="4" customFormat="1" ht="15.75">
      <c r="A320" s="127" t="s">
        <v>134</v>
      </c>
      <c r="B320" s="31" t="s">
        <v>158</v>
      </c>
      <c r="C320" s="92" t="s">
        <v>156</v>
      </c>
      <c r="D320" s="31" t="s">
        <v>396</v>
      </c>
      <c r="E320" s="30" t="s">
        <v>46</v>
      </c>
      <c r="F320" s="74" t="s">
        <v>46</v>
      </c>
      <c r="G320" s="32">
        <f>'Прилож №5'!H426</f>
        <v>57719</v>
      </c>
      <c r="H320" s="32">
        <f>'Прилож №5'!I426</f>
        <v>57719</v>
      </c>
      <c r="I320" s="6"/>
    </row>
    <row r="321" spans="1:9" s="4" customFormat="1" ht="129">
      <c r="A321" s="142" t="s">
        <v>382</v>
      </c>
      <c r="B321" s="54" t="s">
        <v>158</v>
      </c>
      <c r="C321" s="30" t="s">
        <v>156</v>
      </c>
      <c r="D321" s="31" t="s">
        <v>383</v>
      </c>
      <c r="E321" s="30" t="s">
        <v>44</v>
      </c>
      <c r="F321" s="63" t="s">
        <v>44</v>
      </c>
      <c r="G321" s="32">
        <f>G322+G324</f>
        <v>6450.200000000001</v>
      </c>
      <c r="H321" s="32">
        <f>H322+H324</f>
        <v>3092.4</v>
      </c>
      <c r="I321" s="6"/>
    </row>
    <row r="322" spans="1:9" s="4" customFormat="1" ht="72">
      <c r="A322" s="142" t="s">
        <v>389</v>
      </c>
      <c r="B322" s="54" t="s">
        <v>158</v>
      </c>
      <c r="C322" s="30" t="s">
        <v>156</v>
      </c>
      <c r="D322" s="31" t="s">
        <v>384</v>
      </c>
      <c r="E322" s="30" t="s">
        <v>44</v>
      </c>
      <c r="F322" s="63" t="s">
        <v>44</v>
      </c>
      <c r="G322" s="32">
        <f>G323</f>
        <v>0</v>
      </c>
      <c r="H322" s="32">
        <f>H323</f>
        <v>0</v>
      </c>
      <c r="I322" s="6"/>
    </row>
    <row r="323" spans="1:9" s="4" customFormat="1" ht="15.75">
      <c r="A323" s="127" t="s">
        <v>134</v>
      </c>
      <c r="B323" s="54" t="s">
        <v>158</v>
      </c>
      <c r="C323" s="30" t="s">
        <v>156</v>
      </c>
      <c r="D323" s="31" t="s">
        <v>384</v>
      </c>
      <c r="E323" s="30" t="s">
        <v>46</v>
      </c>
      <c r="F323" s="61" t="s">
        <v>46</v>
      </c>
      <c r="G323" s="32">
        <f>'Прилож №5'!H430</f>
        <v>0</v>
      </c>
      <c r="H323" s="32">
        <f>'Прилож №5'!I430</f>
        <v>0</v>
      </c>
      <c r="I323" s="6"/>
    </row>
    <row r="324" spans="1:9" s="4" customFormat="1" ht="57.75">
      <c r="A324" s="142" t="s">
        <v>390</v>
      </c>
      <c r="B324" s="54" t="s">
        <v>158</v>
      </c>
      <c r="C324" s="30" t="s">
        <v>156</v>
      </c>
      <c r="D324" s="31" t="s">
        <v>385</v>
      </c>
      <c r="E324" s="30" t="s">
        <v>44</v>
      </c>
      <c r="F324" s="63" t="s">
        <v>44</v>
      </c>
      <c r="G324" s="32">
        <f>G325</f>
        <v>6450.200000000001</v>
      </c>
      <c r="H324" s="32">
        <f>H325</f>
        <v>3092.4</v>
      </c>
      <c r="I324" s="6"/>
    </row>
    <row r="325" spans="1:9" s="4" customFormat="1" ht="15.75">
      <c r="A325" s="127" t="s">
        <v>134</v>
      </c>
      <c r="B325" s="54" t="s">
        <v>158</v>
      </c>
      <c r="C325" s="30" t="s">
        <v>156</v>
      </c>
      <c r="D325" s="31" t="s">
        <v>385</v>
      </c>
      <c r="E325" s="30" t="s">
        <v>46</v>
      </c>
      <c r="F325" s="81"/>
      <c r="G325" s="32">
        <f>'Прилож №5'!H432</f>
        <v>6450.200000000001</v>
      </c>
      <c r="H325" s="32">
        <f>'Прилож №5'!I432</f>
        <v>3092.4</v>
      </c>
      <c r="I325" s="6"/>
    </row>
    <row r="326" spans="1:9" s="4" customFormat="1" ht="57.75">
      <c r="A326" s="142" t="s">
        <v>440</v>
      </c>
      <c r="B326" s="54" t="s">
        <v>158</v>
      </c>
      <c r="C326" s="92" t="s">
        <v>156</v>
      </c>
      <c r="D326" s="31" t="s">
        <v>414</v>
      </c>
      <c r="E326" s="187" t="s">
        <v>44</v>
      </c>
      <c r="F326" s="61"/>
      <c r="G326" s="32">
        <f>G327</f>
        <v>2842</v>
      </c>
      <c r="H326" s="32">
        <f>H327</f>
        <v>2842</v>
      </c>
      <c r="I326" s="6"/>
    </row>
    <row r="327" spans="1:9" s="4" customFormat="1" ht="15.75">
      <c r="A327" s="129" t="s">
        <v>171</v>
      </c>
      <c r="B327" s="54" t="s">
        <v>158</v>
      </c>
      <c r="C327" s="92" t="s">
        <v>156</v>
      </c>
      <c r="D327" s="31" t="s">
        <v>414</v>
      </c>
      <c r="E327" s="30" t="s">
        <v>53</v>
      </c>
      <c r="F327" s="61" t="s">
        <v>203</v>
      </c>
      <c r="G327" s="32">
        <f>'Прилож №5'!H434</f>
        <v>2842</v>
      </c>
      <c r="H327" s="32">
        <f>'Прилож №5'!I434</f>
        <v>2842</v>
      </c>
      <c r="I327" s="6"/>
    </row>
    <row r="328" spans="1:9" s="4" customFormat="1" ht="15.75">
      <c r="A328" s="125" t="s">
        <v>190</v>
      </c>
      <c r="B328" s="31" t="s">
        <v>158</v>
      </c>
      <c r="C328" s="92" t="s">
        <v>156</v>
      </c>
      <c r="D328" s="31" t="s">
        <v>248</v>
      </c>
      <c r="E328" s="187" t="s">
        <v>44</v>
      </c>
      <c r="F328" s="81">
        <v>483</v>
      </c>
      <c r="G328" s="32">
        <f>G329</f>
        <v>4131</v>
      </c>
      <c r="H328" s="32">
        <f>H329</f>
        <v>0</v>
      </c>
      <c r="I328" s="6"/>
    </row>
    <row r="329" spans="1:9" s="4" customFormat="1" ht="15.75">
      <c r="A329" s="125" t="s">
        <v>134</v>
      </c>
      <c r="B329" s="31" t="s">
        <v>158</v>
      </c>
      <c r="C329" s="92" t="s">
        <v>156</v>
      </c>
      <c r="D329" s="31" t="s">
        <v>248</v>
      </c>
      <c r="E329" s="187" t="s">
        <v>46</v>
      </c>
      <c r="F329" s="81"/>
      <c r="G329" s="32">
        <f>'Прилож №5'!H150</f>
        <v>4131</v>
      </c>
      <c r="H329" s="32">
        <f>'Прилож №5'!I150</f>
        <v>0</v>
      </c>
      <c r="I329" s="6"/>
    </row>
    <row r="330" spans="1:9" s="4" customFormat="1" ht="29.25">
      <c r="A330" s="127" t="s">
        <v>113</v>
      </c>
      <c r="B330" s="31" t="s">
        <v>158</v>
      </c>
      <c r="C330" s="92" t="s">
        <v>156</v>
      </c>
      <c r="D330" s="31" t="s">
        <v>191</v>
      </c>
      <c r="E330" s="187" t="s">
        <v>44</v>
      </c>
      <c r="F330" s="81"/>
      <c r="G330" s="32">
        <f>G331</f>
        <v>38990</v>
      </c>
      <c r="H330" s="32">
        <f>H331</f>
        <v>38990</v>
      </c>
      <c r="I330" s="6"/>
    </row>
    <row r="331" spans="1:9" s="4" customFormat="1" ht="13.5" customHeight="1">
      <c r="A331" s="127" t="s">
        <v>134</v>
      </c>
      <c r="B331" s="31" t="s">
        <v>158</v>
      </c>
      <c r="C331" s="92" t="s">
        <v>156</v>
      </c>
      <c r="D331" s="31" t="s">
        <v>191</v>
      </c>
      <c r="E331" s="187" t="s">
        <v>46</v>
      </c>
      <c r="F331" s="81">
        <v>572</v>
      </c>
      <c r="G331" s="32">
        <f>'Прилож №5'!H152</f>
        <v>38990</v>
      </c>
      <c r="H331" s="32">
        <f>'Прилож №5'!I152</f>
        <v>38990</v>
      </c>
      <c r="I331" s="6"/>
    </row>
    <row r="332" spans="1:9" s="4" customFormat="1" ht="15" customHeight="1">
      <c r="A332" s="125" t="s">
        <v>100</v>
      </c>
      <c r="B332" s="31" t="s">
        <v>158</v>
      </c>
      <c r="C332" s="102" t="s">
        <v>156</v>
      </c>
      <c r="D332" s="54" t="s">
        <v>101</v>
      </c>
      <c r="E332" s="187" t="s">
        <v>44</v>
      </c>
      <c r="F332" s="67"/>
      <c r="G332" s="55">
        <f>G333</f>
        <v>1708.6</v>
      </c>
      <c r="H332" s="55">
        <f>H333</f>
        <v>0</v>
      </c>
      <c r="I332" s="6"/>
    </row>
    <row r="333" spans="1:9" s="4" customFormat="1" ht="31.5" customHeight="1">
      <c r="A333" s="127" t="s">
        <v>260</v>
      </c>
      <c r="B333" s="31" t="s">
        <v>158</v>
      </c>
      <c r="C333" s="102" t="s">
        <v>156</v>
      </c>
      <c r="D333" s="54" t="s">
        <v>208</v>
      </c>
      <c r="E333" s="187" t="s">
        <v>44</v>
      </c>
      <c r="F333" s="67"/>
      <c r="G333" s="55">
        <f>G334</f>
        <v>1708.6</v>
      </c>
      <c r="H333" s="55">
        <f>H334</f>
        <v>0</v>
      </c>
      <c r="I333" s="6"/>
    </row>
    <row r="334" spans="1:9" s="4" customFormat="1" ht="15" customHeight="1">
      <c r="A334" s="129" t="s">
        <v>115</v>
      </c>
      <c r="B334" s="31" t="s">
        <v>158</v>
      </c>
      <c r="C334" s="102" t="s">
        <v>156</v>
      </c>
      <c r="D334" s="54" t="s">
        <v>208</v>
      </c>
      <c r="E334" s="228" t="s">
        <v>203</v>
      </c>
      <c r="F334" s="67"/>
      <c r="G334" s="55">
        <f>'Прилож №5'!H437</f>
        <v>1708.6</v>
      </c>
      <c r="H334" s="55">
        <f>'Прилож №5'!I437</f>
        <v>0</v>
      </c>
      <c r="I334" s="6"/>
    </row>
    <row r="335" spans="1:9" s="4" customFormat="1" ht="15" customHeight="1">
      <c r="A335" s="58" t="s">
        <v>226</v>
      </c>
      <c r="B335" s="35" t="s">
        <v>158</v>
      </c>
      <c r="C335" s="89" t="s">
        <v>153</v>
      </c>
      <c r="D335" s="64" t="s">
        <v>42</v>
      </c>
      <c r="E335" s="229" t="s">
        <v>44</v>
      </c>
      <c r="F335" s="65"/>
      <c r="G335" s="36">
        <f aca="true" t="shared" si="11" ref="G335:H337">G336</f>
        <v>8671.7</v>
      </c>
      <c r="H335" s="36">
        <f t="shared" si="11"/>
        <v>8361</v>
      </c>
      <c r="I335" s="6"/>
    </row>
    <row r="336" spans="1:9" s="4" customFormat="1" ht="15" customHeight="1">
      <c r="A336" s="129" t="s">
        <v>95</v>
      </c>
      <c r="B336" s="31" t="s">
        <v>158</v>
      </c>
      <c r="C336" s="102" t="s">
        <v>153</v>
      </c>
      <c r="D336" s="54" t="s">
        <v>75</v>
      </c>
      <c r="E336" s="187" t="s">
        <v>44</v>
      </c>
      <c r="F336" s="67"/>
      <c r="G336" s="32">
        <f t="shared" si="11"/>
        <v>8671.7</v>
      </c>
      <c r="H336" s="32">
        <f t="shared" si="11"/>
        <v>8361</v>
      </c>
      <c r="I336" s="6"/>
    </row>
    <row r="337" spans="1:9" s="4" customFormat="1" ht="59.25" customHeight="1">
      <c r="A337" s="128" t="s">
        <v>207</v>
      </c>
      <c r="B337" s="31" t="s">
        <v>158</v>
      </c>
      <c r="C337" s="102" t="s">
        <v>153</v>
      </c>
      <c r="D337" s="54" t="s">
        <v>206</v>
      </c>
      <c r="E337" s="187" t="s">
        <v>44</v>
      </c>
      <c r="F337" s="67"/>
      <c r="G337" s="32">
        <f t="shared" si="11"/>
        <v>8671.7</v>
      </c>
      <c r="H337" s="32">
        <f t="shared" si="11"/>
        <v>8361</v>
      </c>
      <c r="I337" s="6"/>
    </row>
    <row r="338" spans="1:9" s="4" customFormat="1" ht="15" customHeight="1">
      <c r="A338" s="126" t="s">
        <v>134</v>
      </c>
      <c r="B338" s="31" t="s">
        <v>158</v>
      </c>
      <c r="C338" s="102" t="s">
        <v>153</v>
      </c>
      <c r="D338" s="54" t="s">
        <v>206</v>
      </c>
      <c r="E338" s="228" t="s">
        <v>46</v>
      </c>
      <c r="F338" s="67"/>
      <c r="G338" s="32">
        <f>'Прилож №5'!H246</f>
        <v>8671.7</v>
      </c>
      <c r="H338" s="71">
        <f>'Прилож №5'!I246</f>
        <v>8361</v>
      </c>
      <c r="I338" s="6"/>
    </row>
    <row r="339" spans="1:9" s="4" customFormat="1" ht="15.75">
      <c r="A339" s="58" t="s">
        <v>99</v>
      </c>
      <c r="B339" s="35" t="s">
        <v>158</v>
      </c>
      <c r="C339" s="93" t="s">
        <v>170</v>
      </c>
      <c r="D339" s="35" t="s">
        <v>42</v>
      </c>
      <c r="E339" s="229" t="s">
        <v>44</v>
      </c>
      <c r="F339" s="34"/>
      <c r="G339" s="36">
        <f>G342+G340</f>
        <v>4150</v>
      </c>
      <c r="H339" s="36">
        <f>H342</f>
        <v>0</v>
      </c>
      <c r="I339" s="6"/>
    </row>
    <row r="340" spans="1:9" s="4" customFormat="1" ht="15.75">
      <c r="A340" s="125" t="s">
        <v>353</v>
      </c>
      <c r="B340" s="31" t="s">
        <v>158</v>
      </c>
      <c r="C340" s="92" t="s">
        <v>170</v>
      </c>
      <c r="D340" s="31" t="s">
        <v>352</v>
      </c>
      <c r="E340" s="187" t="s">
        <v>44</v>
      </c>
      <c r="F340" s="34"/>
      <c r="G340" s="32">
        <f>G341</f>
        <v>100</v>
      </c>
      <c r="H340" s="36"/>
      <c r="I340" s="6"/>
    </row>
    <row r="341" spans="1:9" s="4" customFormat="1" ht="15.75">
      <c r="A341" s="126" t="s">
        <v>115</v>
      </c>
      <c r="B341" s="31" t="s">
        <v>158</v>
      </c>
      <c r="C341" s="92" t="s">
        <v>170</v>
      </c>
      <c r="D341" s="31" t="s">
        <v>352</v>
      </c>
      <c r="E341" s="187" t="s">
        <v>203</v>
      </c>
      <c r="F341" s="34"/>
      <c r="G341" s="32">
        <f>'Прилож №5'!H155</f>
        <v>100</v>
      </c>
      <c r="H341" s="36"/>
      <c r="I341" s="6"/>
    </row>
    <row r="342" spans="1:9" s="4" customFormat="1" ht="15.75">
      <c r="A342" s="125" t="s">
        <v>100</v>
      </c>
      <c r="B342" s="31" t="s">
        <v>158</v>
      </c>
      <c r="C342" s="92" t="s">
        <v>170</v>
      </c>
      <c r="D342" s="31" t="s">
        <v>101</v>
      </c>
      <c r="E342" s="187" t="s">
        <v>44</v>
      </c>
      <c r="F342" s="30"/>
      <c r="G342" s="32">
        <f>G343</f>
        <v>4050</v>
      </c>
      <c r="H342" s="32">
        <f>H343</f>
        <v>0</v>
      </c>
      <c r="I342" s="6"/>
    </row>
    <row r="343" spans="1:9" s="4" customFormat="1" ht="30" customHeight="1">
      <c r="A343" s="212" t="s">
        <v>354</v>
      </c>
      <c r="B343" s="40" t="s">
        <v>158</v>
      </c>
      <c r="C343" s="98" t="s">
        <v>170</v>
      </c>
      <c r="D343" s="40" t="s">
        <v>192</v>
      </c>
      <c r="E343" s="187" t="s">
        <v>44</v>
      </c>
      <c r="F343" s="39"/>
      <c r="G343" s="41">
        <f>G344+G345</f>
        <v>4050</v>
      </c>
      <c r="H343" s="41">
        <f>H345</f>
        <v>0</v>
      </c>
      <c r="I343" s="6"/>
    </row>
    <row r="344" spans="1:9" s="4" customFormat="1" ht="17.25" customHeight="1">
      <c r="A344" s="126" t="s">
        <v>138</v>
      </c>
      <c r="B344" s="40" t="s">
        <v>158</v>
      </c>
      <c r="C344" s="98" t="s">
        <v>170</v>
      </c>
      <c r="D344" s="40" t="s">
        <v>192</v>
      </c>
      <c r="E344" s="234" t="s">
        <v>68</v>
      </c>
      <c r="F344" s="39"/>
      <c r="G344" s="41">
        <f>'Прилож №5'!H367</f>
        <v>1800</v>
      </c>
      <c r="H344" s="41">
        <f>'Прилож №5'!I367</f>
        <v>0</v>
      </c>
      <c r="I344" s="6"/>
    </row>
    <row r="345" spans="1:10" s="4" customFormat="1" ht="16.5" thickBot="1">
      <c r="A345" s="126" t="s">
        <v>115</v>
      </c>
      <c r="B345" s="40" t="s">
        <v>158</v>
      </c>
      <c r="C345" s="108" t="s">
        <v>170</v>
      </c>
      <c r="D345" s="43" t="s">
        <v>192</v>
      </c>
      <c r="E345" s="234" t="s">
        <v>203</v>
      </c>
      <c r="F345" s="39"/>
      <c r="G345" s="41">
        <f>'Прилож №5'!H158</f>
        <v>2250</v>
      </c>
      <c r="H345" s="41">
        <f>'Прилож №5'!I158</f>
        <v>0</v>
      </c>
      <c r="I345" s="6"/>
      <c r="J345" s="16"/>
    </row>
    <row r="346" spans="1:9" s="3" customFormat="1" ht="16.5" thickBot="1">
      <c r="A346" s="56" t="s">
        <v>184</v>
      </c>
      <c r="B346" s="24" t="s">
        <v>266</v>
      </c>
      <c r="C346" s="24" t="s">
        <v>96</v>
      </c>
      <c r="D346" s="22" t="s">
        <v>42</v>
      </c>
      <c r="E346" s="24" t="s">
        <v>44</v>
      </c>
      <c r="F346" s="22"/>
      <c r="G346" s="25">
        <f>G347</f>
        <v>100875.5</v>
      </c>
      <c r="H346" s="25">
        <f>H348+H353</f>
        <v>118.8</v>
      </c>
      <c r="I346" s="9"/>
    </row>
    <row r="347" spans="1:9" s="3" customFormat="1" ht="15.75">
      <c r="A347" s="17" t="s">
        <v>267</v>
      </c>
      <c r="B347" s="64" t="s">
        <v>266</v>
      </c>
      <c r="C347" s="64" t="s">
        <v>151</v>
      </c>
      <c r="D347" s="38" t="s">
        <v>42</v>
      </c>
      <c r="E347" s="64" t="s">
        <v>44</v>
      </c>
      <c r="F347" s="38"/>
      <c r="G347" s="66">
        <f>G353+G348</f>
        <v>100875.5</v>
      </c>
      <c r="H347" s="66">
        <f>H353+H348</f>
        <v>118.8</v>
      </c>
      <c r="I347" s="9"/>
    </row>
    <row r="348" spans="1:9" s="4" customFormat="1" ht="15.75">
      <c r="A348" s="125" t="s">
        <v>60</v>
      </c>
      <c r="B348" s="54" t="s">
        <v>266</v>
      </c>
      <c r="C348" s="31" t="s">
        <v>151</v>
      </c>
      <c r="D348" s="39" t="s">
        <v>61</v>
      </c>
      <c r="E348" s="31" t="s">
        <v>44</v>
      </c>
      <c r="F348" s="30"/>
      <c r="G348" s="32">
        <f>G349</f>
        <v>12575.5</v>
      </c>
      <c r="H348" s="32">
        <f>H349</f>
        <v>118.8</v>
      </c>
      <c r="I348" s="6"/>
    </row>
    <row r="349" spans="1:9" s="4" customFormat="1" ht="15.75">
      <c r="A349" s="126" t="s">
        <v>25</v>
      </c>
      <c r="B349" s="54" t="s">
        <v>266</v>
      </c>
      <c r="C349" s="31" t="s">
        <v>151</v>
      </c>
      <c r="D349" s="39" t="s">
        <v>185</v>
      </c>
      <c r="E349" s="31" t="s">
        <v>44</v>
      </c>
      <c r="F349" s="30"/>
      <c r="G349" s="32">
        <f>G350+G351</f>
        <v>12575.5</v>
      </c>
      <c r="H349" s="32">
        <f>H350+H351</f>
        <v>118.8</v>
      </c>
      <c r="I349" s="6"/>
    </row>
    <row r="350" spans="1:9" s="4" customFormat="1" ht="15.75">
      <c r="A350" s="126" t="s">
        <v>138</v>
      </c>
      <c r="B350" s="54" t="s">
        <v>266</v>
      </c>
      <c r="C350" s="31" t="s">
        <v>151</v>
      </c>
      <c r="D350" s="39" t="s">
        <v>185</v>
      </c>
      <c r="E350" s="40" t="s">
        <v>68</v>
      </c>
      <c r="F350" s="30"/>
      <c r="G350" s="32">
        <f>'Прилож №5'!H315</f>
        <v>12456.7</v>
      </c>
      <c r="H350" s="32">
        <f>'Прилож №5'!I315</f>
        <v>0</v>
      </c>
      <c r="I350" s="6"/>
    </row>
    <row r="351" spans="1:9" s="4" customFormat="1" ht="57.75">
      <c r="A351" s="217" t="s">
        <v>426</v>
      </c>
      <c r="B351" s="31" t="s">
        <v>266</v>
      </c>
      <c r="C351" s="31" t="s">
        <v>151</v>
      </c>
      <c r="D351" s="31" t="s">
        <v>427</v>
      </c>
      <c r="E351" s="30" t="s">
        <v>44</v>
      </c>
      <c r="F351" s="63" t="s">
        <v>44</v>
      </c>
      <c r="G351" s="32">
        <f>G352</f>
        <v>118.8</v>
      </c>
      <c r="H351" s="32">
        <f>H352</f>
        <v>118.8</v>
      </c>
      <c r="I351" s="6"/>
    </row>
    <row r="352" spans="1:9" s="4" customFormat="1" ht="15.75">
      <c r="A352" s="189" t="s">
        <v>138</v>
      </c>
      <c r="B352" s="31" t="s">
        <v>266</v>
      </c>
      <c r="C352" s="31" t="s">
        <v>151</v>
      </c>
      <c r="D352" s="31" t="s">
        <v>427</v>
      </c>
      <c r="E352" s="30" t="s">
        <v>68</v>
      </c>
      <c r="F352" s="63" t="s">
        <v>68</v>
      </c>
      <c r="G352" s="32">
        <f>'Прилож №5'!H317</f>
        <v>118.8</v>
      </c>
      <c r="H352" s="32">
        <f>'Прилож №5'!I317</f>
        <v>118.8</v>
      </c>
      <c r="I352" s="6"/>
    </row>
    <row r="353" spans="1:9" s="4" customFormat="1" ht="15.75">
      <c r="A353" s="125" t="s">
        <v>100</v>
      </c>
      <c r="B353" s="54" t="s">
        <v>266</v>
      </c>
      <c r="C353" s="31" t="s">
        <v>151</v>
      </c>
      <c r="D353" s="39" t="s">
        <v>101</v>
      </c>
      <c r="E353" s="31" t="s">
        <v>44</v>
      </c>
      <c r="F353" s="30"/>
      <c r="G353" s="32">
        <f>G354+G356</f>
        <v>88300</v>
      </c>
      <c r="H353" s="32">
        <f>H354+H356</f>
        <v>0</v>
      </c>
      <c r="I353" s="6"/>
    </row>
    <row r="354" spans="1:11" s="4" customFormat="1" ht="29.25">
      <c r="A354" s="127" t="s">
        <v>308</v>
      </c>
      <c r="B354" s="54" t="s">
        <v>266</v>
      </c>
      <c r="C354" s="31" t="s">
        <v>151</v>
      </c>
      <c r="D354" s="39" t="s">
        <v>194</v>
      </c>
      <c r="E354" s="31" t="s">
        <v>44</v>
      </c>
      <c r="F354" s="30"/>
      <c r="G354" s="32">
        <f>G355</f>
        <v>1300</v>
      </c>
      <c r="H354" s="32">
        <f>H355</f>
        <v>0</v>
      </c>
      <c r="I354" s="6"/>
      <c r="K354" s="215"/>
    </row>
    <row r="355" spans="1:9" s="4" customFormat="1" ht="15.75">
      <c r="A355" s="52" t="s">
        <v>138</v>
      </c>
      <c r="B355" s="31" t="s">
        <v>266</v>
      </c>
      <c r="C355" s="31" t="s">
        <v>151</v>
      </c>
      <c r="D355" s="30" t="s">
        <v>194</v>
      </c>
      <c r="E355" s="31" t="s">
        <v>68</v>
      </c>
      <c r="F355" s="30"/>
      <c r="G355" s="32">
        <f>'Прилож №5'!H320</f>
        <v>1300</v>
      </c>
      <c r="H355" s="32">
        <f>'Прилож №5'!I378</f>
        <v>0</v>
      </c>
      <c r="I355" s="6"/>
    </row>
    <row r="356" spans="1:9" s="4" customFormat="1" ht="16.5" thickBot="1">
      <c r="A356" s="134" t="s">
        <v>171</v>
      </c>
      <c r="B356" s="40" t="s">
        <v>266</v>
      </c>
      <c r="C356" s="40" t="s">
        <v>151</v>
      </c>
      <c r="D356" s="39" t="s">
        <v>194</v>
      </c>
      <c r="E356" s="40" t="s">
        <v>53</v>
      </c>
      <c r="F356" s="39"/>
      <c r="G356" s="41">
        <f>'Прилож №5'!H163</f>
        <v>87000</v>
      </c>
      <c r="H356" s="41">
        <f>'Прилож №5'!I163</f>
        <v>0</v>
      </c>
      <c r="I356" s="6"/>
    </row>
    <row r="357" spans="1:9" s="4" customFormat="1" ht="16.5" thickBot="1">
      <c r="A357" s="75" t="s">
        <v>57</v>
      </c>
      <c r="B357" s="22" t="s">
        <v>96</v>
      </c>
      <c r="C357" s="24" t="s">
        <v>96</v>
      </c>
      <c r="D357" s="22" t="s">
        <v>42</v>
      </c>
      <c r="E357" s="24" t="s">
        <v>44</v>
      </c>
      <c r="F357" s="22"/>
      <c r="G357" s="249">
        <f>G13+G51+G56+G93+G120+G159+G164+G230+G265+G310+G346</f>
        <v>3114256.0999999996</v>
      </c>
      <c r="H357" s="249">
        <f>H13+H51+H56+H93+H120+H159+H164+H230+H265+H310+H346</f>
        <v>1128196.8</v>
      </c>
      <c r="I357" s="6"/>
    </row>
    <row r="359" ht="15.75">
      <c r="G359" s="264"/>
    </row>
  </sheetData>
  <mergeCells count="15">
    <mergeCell ref="E11:E12"/>
    <mergeCell ref="G11:G12"/>
    <mergeCell ref="A8:H8"/>
    <mergeCell ref="A9:H9"/>
    <mergeCell ref="H11:H12"/>
    <mergeCell ref="A11:A12"/>
    <mergeCell ref="B11:B12"/>
    <mergeCell ref="C11:C12"/>
    <mergeCell ref="D11:D12"/>
    <mergeCell ref="D5:H5"/>
    <mergeCell ref="D6:H6"/>
    <mergeCell ref="D1:H1"/>
    <mergeCell ref="D2:H2"/>
    <mergeCell ref="D3:H3"/>
    <mergeCell ref="D4:H4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3"/>
  <sheetViews>
    <sheetView tabSelected="1" workbookViewId="0" topLeftCell="A1">
      <selection activeCell="G4" sqref="G4:I4"/>
    </sheetView>
  </sheetViews>
  <sheetFormatPr defaultColWidth="8.796875" defaultRowHeight="15"/>
  <cols>
    <col min="1" max="1" width="57" style="18" customWidth="1"/>
    <col min="2" max="2" width="5.19921875" style="19" customWidth="1"/>
    <col min="3" max="3" width="6.3984375" style="19" customWidth="1"/>
    <col min="4" max="4" width="6.19921875" style="19" customWidth="1"/>
    <col min="5" max="5" width="9" style="19" customWidth="1"/>
    <col min="6" max="6" width="0.1015625" style="19" hidden="1" customWidth="1"/>
    <col min="7" max="7" width="4.59765625" style="20" customWidth="1"/>
    <col min="8" max="8" width="13.5" style="13" customWidth="1"/>
    <col min="9" max="9" width="13.19921875" style="13" customWidth="1"/>
    <col min="10" max="10" width="10" style="0" customWidth="1"/>
    <col min="11" max="11" width="12.3984375" style="0" customWidth="1"/>
  </cols>
  <sheetData>
    <row r="1" spans="8:9" ht="15.75">
      <c r="H1" s="267" t="s">
        <v>347</v>
      </c>
      <c r="I1" s="278"/>
    </row>
    <row r="2" spans="7:9" ht="15.75">
      <c r="G2" s="267" t="s">
        <v>198</v>
      </c>
      <c r="H2" s="278"/>
      <c r="I2" s="278"/>
    </row>
    <row r="3" spans="5:9" ht="15.75">
      <c r="E3" s="84"/>
      <c r="F3" s="84"/>
      <c r="G3" s="267" t="s">
        <v>444</v>
      </c>
      <c r="H3" s="283"/>
      <c r="I3" s="283"/>
    </row>
    <row r="4" spans="7:9" ht="15.75">
      <c r="G4" s="279" t="s">
        <v>348</v>
      </c>
      <c r="H4" s="280"/>
      <c r="I4" s="280"/>
    </row>
    <row r="5" spans="7:9" ht="15.75">
      <c r="G5" s="267" t="s">
        <v>198</v>
      </c>
      <c r="H5" s="278"/>
      <c r="I5" s="278"/>
    </row>
    <row r="6" spans="1:9" ht="15.75">
      <c r="A6" s="85"/>
      <c r="B6" s="84"/>
      <c r="C6" s="84"/>
      <c r="D6" s="84"/>
      <c r="E6" s="84"/>
      <c r="F6" s="84"/>
      <c r="G6" s="267" t="s">
        <v>349</v>
      </c>
      <c r="H6" s="283"/>
      <c r="I6" s="283"/>
    </row>
    <row r="7" spans="1:9" ht="22.5" customHeight="1">
      <c r="A7" s="284" t="s">
        <v>281</v>
      </c>
      <c r="B7" s="284"/>
      <c r="C7" s="284"/>
      <c r="D7" s="284"/>
      <c r="E7" s="284"/>
      <c r="F7" s="284"/>
      <c r="G7" s="284"/>
      <c r="H7" s="284"/>
      <c r="I7" s="284"/>
    </row>
    <row r="8" spans="1:9" ht="16.5" thickBot="1">
      <c r="A8" s="13"/>
      <c r="B8" s="84"/>
      <c r="C8" s="84"/>
      <c r="D8" s="84"/>
      <c r="E8" s="84"/>
      <c r="F8" s="84"/>
      <c r="I8" s="85" t="s">
        <v>199</v>
      </c>
    </row>
    <row r="9" spans="1:9" ht="15.75">
      <c r="A9" s="285" t="s">
        <v>1</v>
      </c>
      <c r="B9" s="288" t="s">
        <v>48</v>
      </c>
      <c r="C9" s="288" t="s">
        <v>49</v>
      </c>
      <c r="D9" s="289" t="s">
        <v>261</v>
      </c>
      <c r="E9" s="289" t="s">
        <v>262</v>
      </c>
      <c r="F9" s="86"/>
      <c r="G9" s="286" t="s">
        <v>263</v>
      </c>
      <c r="H9" s="277" t="s">
        <v>50</v>
      </c>
      <c r="I9" s="281" t="s">
        <v>264</v>
      </c>
    </row>
    <row r="10" spans="1:9" ht="63" customHeight="1" thickBot="1">
      <c r="A10" s="270"/>
      <c r="B10" s="270"/>
      <c r="C10" s="270"/>
      <c r="D10" s="282"/>
      <c r="E10" s="282"/>
      <c r="F10" s="177"/>
      <c r="G10" s="287"/>
      <c r="H10" s="270"/>
      <c r="I10" s="282"/>
    </row>
    <row r="11" spans="1:9" ht="18.75" thickBot="1">
      <c r="A11" s="163" t="s">
        <v>318</v>
      </c>
      <c r="B11" s="87" t="s">
        <v>272</v>
      </c>
      <c r="C11" s="24" t="s">
        <v>96</v>
      </c>
      <c r="D11" s="22" t="s">
        <v>96</v>
      </c>
      <c r="E11" s="24" t="s">
        <v>42</v>
      </c>
      <c r="F11" s="22"/>
      <c r="G11" s="88" t="s">
        <v>44</v>
      </c>
      <c r="H11" s="25">
        <f>H12+H38+H43+H60+H88+H127+H132+H142+H159</f>
        <v>1145198.2</v>
      </c>
      <c r="I11" s="25">
        <f>I12+I38+I43+I60+I88+I127+I132+I142+I159</f>
        <v>509938.4</v>
      </c>
    </row>
    <row r="12" spans="1:9" ht="15.75">
      <c r="A12" s="164" t="s">
        <v>15</v>
      </c>
      <c r="B12" s="90" t="s">
        <v>272</v>
      </c>
      <c r="C12" s="79" t="s">
        <v>151</v>
      </c>
      <c r="D12" s="78" t="s">
        <v>96</v>
      </c>
      <c r="E12" s="122" t="s">
        <v>42</v>
      </c>
      <c r="F12" s="151"/>
      <c r="G12" s="152" t="s">
        <v>44</v>
      </c>
      <c r="H12" s="153">
        <f>H13+H17+H25+H29+H21</f>
        <v>106273.1</v>
      </c>
      <c r="I12" s="153">
        <f>I13+I17+I25+I29+I21</f>
        <v>8277.4</v>
      </c>
    </row>
    <row r="13" spans="1:10" s="3" customFormat="1" ht="30">
      <c r="A13" s="33" t="s">
        <v>79</v>
      </c>
      <c r="B13" s="93" t="s">
        <v>272</v>
      </c>
      <c r="C13" s="35" t="s">
        <v>151</v>
      </c>
      <c r="D13" s="34" t="s">
        <v>152</v>
      </c>
      <c r="E13" s="35" t="s">
        <v>42</v>
      </c>
      <c r="F13" s="34"/>
      <c r="G13" s="97" t="s">
        <v>44</v>
      </c>
      <c r="H13" s="36">
        <f>H14</f>
        <v>1748</v>
      </c>
      <c r="I13" s="36">
        <f>I14</f>
        <v>0</v>
      </c>
      <c r="J13"/>
    </row>
    <row r="14" spans="1:10" s="4" customFormat="1" ht="43.5">
      <c r="A14" s="143" t="s">
        <v>212</v>
      </c>
      <c r="B14" s="102" t="s">
        <v>272</v>
      </c>
      <c r="C14" s="54" t="s">
        <v>151</v>
      </c>
      <c r="D14" s="53" t="s">
        <v>152</v>
      </c>
      <c r="E14" s="54" t="s">
        <v>202</v>
      </c>
      <c r="F14" s="53"/>
      <c r="G14" s="103" t="s">
        <v>44</v>
      </c>
      <c r="H14" s="55">
        <f>H16</f>
        <v>1748</v>
      </c>
      <c r="I14" s="55">
        <f>I16</f>
        <v>0</v>
      </c>
      <c r="J14"/>
    </row>
    <row r="15" spans="1:10" s="4" customFormat="1" ht="15.75">
      <c r="A15" s="143" t="s">
        <v>213</v>
      </c>
      <c r="B15" s="92" t="s">
        <v>272</v>
      </c>
      <c r="C15" s="31" t="s">
        <v>151</v>
      </c>
      <c r="D15" s="30" t="s">
        <v>152</v>
      </c>
      <c r="E15" s="31" t="s">
        <v>214</v>
      </c>
      <c r="F15" s="30"/>
      <c r="G15" s="74" t="s">
        <v>44</v>
      </c>
      <c r="H15" s="32">
        <f>H16</f>
        <v>1748</v>
      </c>
      <c r="I15" s="32">
        <f>I16</f>
        <v>0</v>
      </c>
      <c r="J15"/>
    </row>
    <row r="16" spans="1:10" s="4" customFormat="1" ht="15.75">
      <c r="A16" s="144" t="s">
        <v>115</v>
      </c>
      <c r="B16" s="92" t="s">
        <v>272</v>
      </c>
      <c r="C16" s="31" t="s">
        <v>151</v>
      </c>
      <c r="D16" s="30" t="s">
        <v>152</v>
      </c>
      <c r="E16" s="40" t="s">
        <v>214</v>
      </c>
      <c r="F16" s="39"/>
      <c r="G16" s="115" t="s">
        <v>203</v>
      </c>
      <c r="H16" s="71">
        <v>1748</v>
      </c>
      <c r="I16" s="32"/>
      <c r="J16"/>
    </row>
    <row r="17" spans="1:10" s="3" customFormat="1" ht="45">
      <c r="A17" s="33" t="s">
        <v>80</v>
      </c>
      <c r="B17" s="93" t="s">
        <v>272</v>
      </c>
      <c r="C17" s="35" t="s">
        <v>151</v>
      </c>
      <c r="D17" s="34" t="s">
        <v>153</v>
      </c>
      <c r="E17" s="35" t="s">
        <v>42</v>
      </c>
      <c r="F17" s="34"/>
      <c r="G17" s="154" t="s">
        <v>44</v>
      </c>
      <c r="H17" s="36">
        <f aca="true" t="shared" si="0" ref="H17:I19">H18</f>
        <v>72435.2</v>
      </c>
      <c r="I17" s="36">
        <f t="shared" si="0"/>
        <v>5180</v>
      </c>
      <c r="J17"/>
    </row>
    <row r="18" spans="1:9" ht="43.5">
      <c r="A18" s="142" t="s">
        <v>212</v>
      </c>
      <c r="B18" s="92" t="s">
        <v>272</v>
      </c>
      <c r="C18" s="31" t="s">
        <v>151</v>
      </c>
      <c r="D18" s="30" t="s">
        <v>153</v>
      </c>
      <c r="E18" s="54" t="s">
        <v>202</v>
      </c>
      <c r="F18" s="53"/>
      <c r="G18" s="95" t="s">
        <v>44</v>
      </c>
      <c r="H18" s="32">
        <f t="shared" si="0"/>
        <v>72435.2</v>
      </c>
      <c r="I18" s="32">
        <f t="shared" si="0"/>
        <v>5180</v>
      </c>
    </row>
    <row r="19" spans="1:9" ht="15.75">
      <c r="A19" s="143" t="s">
        <v>45</v>
      </c>
      <c r="B19" s="92" t="s">
        <v>272</v>
      </c>
      <c r="C19" s="31" t="s">
        <v>151</v>
      </c>
      <c r="D19" s="30" t="s">
        <v>153</v>
      </c>
      <c r="E19" s="54" t="s">
        <v>204</v>
      </c>
      <c r="F19" s="53"/>
      <c r="G19" s="96" t="s">
        <v>44</v>
      </c>
      <c r="H19" s="32">
        <f t="shared" si="0"/>
        <v>72435.2</v>
      </c>
      <c r="I19" s="32">
        <f t="shared" si="0"/>
        <v>5180</v>
      </c>
    </row>
    <row r="20" spans="1:9" ht="15.75">
      <c r="A20" s="144" t="s">
        <v>115</v>
      </c>
      <c r="B20" s="92" t="s">
        <v>272</v>
      </c>
      <c r="C20" s="31" t="s">
        <v>151</v>
      </c>
      <c r="D20" s="30" t="s">
        <v>153</v>
      </c>
      <c r="E20" s="31" t="s">
        <v>204</v>
      </c>
      <c r="F20" s="30"/>
      <c r="G20" s="74" t="s">
        <v>203</v>
      </c>
      <c r="H20" s="71">
        <f>64235+1456+836+2432+3326-700+72.5+21.7+456+300</f>
        <v>72435.2</v>
      </c>
      <c r="I20" s="71">
        <f>1456+836+2432+456</f>
        <v>5180</v>
      </c>
    </row>
    <row r="21" spans="1:9" ht="15.75">
      <c r="A21" s="166" t="s">
        <v>364</v>
      </c>
      <c r="B21" s="92" t="s">
        <v>272</v>
      </c>
      <c r="C21" s="31" t="s">
        <v>151</v>
      </c>
      <c r="D21" s="30" t="s">
        <v>165</v>
      </c>
      <c r="E21" s="31" t="s">
        <v>42</v>
      </c>
      <c r="F21" s="30"/>
      <c r="G21" s="61" t="s">
        <v>44</v>
      </c>
      <c r="H21" s="71">
        <f aca="true" t="shared" si="1" ref="H21:I23">H22</f>
        <v>5</v>
      </c>
      <c r="I21" s="71">
        <f t="shared" si="1"/>
        <v>5</v>
      </c>
    </row>
    <row r="22" spans="1:9" ht="15.75">
      <c r="A22" s="144" t="s">
        <v>365</v>
      </c>
      <c r="B22" s="92" t="s">
        <v>272</v>
      </c>
      <c r="C22" s="31" t="s">
        <v>151</v>
      </c>
      <c r="D22" s="30" t="s">
        <v>151</v>
      </c>
      <c r="E22" s="31" t="s">
        <v>366</v>
      </c>
      <c r="F22" s="30"/>
      <c r="G22" s="61" t="s">
        <v>44</v>
      </c>
      <c r="H22" s="71">
        <f t="shared" si="1"/>
        <v>5</v>
      </c>
      <c r="I22" s="71">
        <f t="shared" si="1"/>
        <v>5</v>
      </c>
    </row>
    <row r="23" spans="1:9" ht="43.5">
      <c r="A23" s="143" t="s">
        <v>367</v>
      </c>
      <c r="B23" s="92" t="s">
        <v>272</v>
      </c>
      <c r="C23" s="31" t="s">
        <v>151</v>
      </c>
      <c r="D23" s="30" t="s">
        <v>165</v>
      </c>
      <c r="E23" s="31" t="s">
        <v>368</v>
      </c>
      <c r="F23" s="30"/>
      <c r="G23" s="61" t="s">
        <v>44</v>
      </c>
      <c r="H23" s="71">
        <f t="shared" si="1"/>
        <v>5</v>
      </c>
      <c r="I23" s="71">
        <f t="shared" si="1"/>
        <v>5</v>
      </c>
    </row>
    <row r="24" spans="1:9" ht="15.75">
      <c r="A24" s="144" t="s">
        <v>115</v>
      </c>
      <c r="B24" s="92" t="s">
        <v>272</v>
      </c>
      <c r="C24" s="31" t="s">
        <v>151</v>
      </c>
      <c r="D24" s="30" t="s">
        <v>165</v>
      </c>
      <c r="E24" s="31" t="s">
        <v>368</v>
      </c>
      <c r="F24" s="30" t="s">
        <v>203</v>
      </c>
      <c r="G24" s="61" t="s">
        <v>203</v>
      </c>
      <c r="H24" s="71">
        <v>5</v>
      </c>
      <c r="I24" s="71">
        <v>5</v>
      </c>
    </row>
    <row r="25" spans="1:10" s="3" customFormat="1" ht="15.75">
      <c r="A25" s="37" t="s">
        <v>14</v>
      </c>
      <c r="B25" s="93" t="s">
        <v>272</v>
      </c>
      <c r="C25" s="35" t="s">
        <v>151</v>
      </c>
      <c r="D25" s="34" t="s">
        <v>266</v>
      </c>
      <c r="E25" s="35" t="s">
        <v>42</v>
      </c>
      <c r="F25" s="34"/>
      <c r="G25" s="154" t="s">
        <v>44</v>
      </c>
      <c r="H25" s="36">
        <f aca="true" t="shared" si="2" ref="H25:I27">H26</f>
        <v>5000</v>
      </c>
      <c r="I25" s="36">
        <f t="shared" si="2"/>
        <v>0</v>
      </c>
      <c r="J25"/>
    </row>
    <row r="26" spans="1:9" ht="15.75">
      <c r="A26" s="165" t="s">
        <v>14</v>
      </c>
      <c r="B26" s="93" t="s">
        <v>272</v>
      </c>
      <c r="C26" s="35" t="s">
        <v>151</v>
      </c>
      <c r="D26" s="34" t="s">
        <v>266</v>
      </c>
      <c r="E26" s="35" t="s">
        <v>17</v>
      </c>
      <c r="F26" s="158"/>
      <c r="G26" s="94" t="s">
        <v>44</v>
      </c>
      <c r="H26" s="36">
        <f t="shared" si="2"/>
        <v>5000</v>
      </c>
      <c r="I26" s="36">
        <f t="shared" si="2"/>
        <v>0</v>
      </c>
    </row>
    <row r="27" spans="1:9" ht="29.25">
      <c r="A27" s="142" t="s">
        <v>118</v>
      </c>
      <c r="B27" s="92" t="s">
        <v>272</v>
      </c>
      <c r="C27" s="31" t="s">
        <v>151</v>
      </c>
      <c r="D27" s="30" t="s">
        <v>266</v>
      </c>
      <c r="E27" s="31" t="s">
        <v>119</v>
      </c>
      <c r="F27" s="82"/>
      <c r="G27" s="74" t="s">
        <v>44</v>
      </c>
      <c r="H27" s="32">
        <f t="shared" si="2"/>
        <v>5000</v>
      </c>
      <c r="I27" s="32">
        <f t="shared" si="2"/>
        <v>0</v>
      </c>
    </row>
    <row r="28" spans="1:9" ht="15.75">
      <c r="A28" s="144" t="s">
        <v>117</v>
      </c>
      <c r="B28" s="92" t="s">
        <v>272</v>
      </c>
      <c r="C28" s="31" t="s">
        <v>151</v>
      </c>
      <c r="D28" s="30" t="s">
        <v>266</v>
      </c>
      <c r="E28" s="31" t="s">
        <v>119</v>
      </c>
      <c r="F28" s="82"/>
      <c r="G28" s="96" t="s">
        <v>97</v>
      </c>
      <c r="H28" s="71">
        <v>5000</v>
      </c>
      <c r="I28" s="32"/>
    </row>
    <row r="29" spans="1:10" s="3" customFormat="1" ht="15.75">
      <c r="A29" s="166" t="s">
        <v>62</v>
      </c>
      <c r="B29" s="93" t="s">
        <v>272</v>
      </c>
      <c r="C29" s="35" t="s">
        <v>151</v>
      </c>
      <c r="D29" s="34" t="s">
        <v>265</v>
      </c>
      <c r="E29" s="35" t="s">
        <v>42</v>
      </c>
      <c r="F29" s="34"/>
      <c r="G29" s="154" t="s">
        <v>44</v>
      </c>
      <c r="H29" s="36">
        <f>H30+H33</f>
        <v>27084.9</v>
      </c>
      <c r="I29" s="36">
        <f>I30+I33</f>
        <v>3092.4</v>
      </c>
      <c r="J29"/>
    </row>
    <row r="30" spans="1:9" ht="29.25">
      <c r="A30" s="142" t="s">
        <v>169</v>
      </c>
      <c r="B30" s="92" t="s">
        <v>272</v>
      </c>
      <c r="C30" s="31" t="s">
        <v>151</v>
      </c>
      <c r="D30" s="30" t="s">
        <v>265</v>
      </c>
      <c r="E30" s="31" t="s">
        <v>107</v>
      </c>
      <c r="F30" s="82"/>
      <c r="G30" s="74" t="s">
        <v>44</v>
      </c>
      <c r="H30" s="32">
        <f>H31</f>
        <v>12616</v>
      </c>
      <c r="I30" s="52">
        <f>I31</f>
        <v>3092.4</v>
      </c>
    </row>
    <row r="31" spans="1:9" ht="15.75">
      <c r="A31" s="145" t="s">
        <v>59</v>
      </c>
      <c r="B31" s="92" t="s">
        <v>272</v>
      </c>
      <c r="C31" s="31" t="s">
        <v>151</v>
      </c>
      <c r="D31" s="30" t="s">
        <v>265</v>
      </c>
      <c r="E31" s="31" t="s">
        <v>168</v>
      </c>
      <c r="F31" s="82"/>
      <c r="G31" s="74" t="s">
        <v>44</v>
      </c>
      <c r="H31" s="32">
        <f>H32</f>
        <v>12616</v>
      </c>
      <c r="I31" s="52">
        <f>I32</f>
        <v>3092.4</v>
      </c>
    </row>
    <row r="32" spans="1:9" ht="15.75">
      <c r="A32" s="52" t="s">
        <v>115</v>
      </c>
      <c r="B32" s="98" t="s">
        <v>272</v>
      </c>
      <c r="C32" s="40" t="s">
        <v>151</v>
      </c>
      <c r="D32" s="39" t="s">
        <v>265</v>
      </c>
      <c r="E32" s="40" t="s">
        <v>168</v>
      </c>
      <c r="F32" s="99" t="s">
        <v>44</v>
      </c>
      <c r="G32" s="96" t="s">
        <v>203</v>
      </c>
      <c r="H32" s="32">
        <f>116+12500</f>
        <v>12616</v>
      </c>
      <c r="I32" s="52">
        <v>3092.4</v>
      </c>
    </row>
    <row r="33" spans="1:11" ht="15.75">
      <c r="A33" s="52" t="s">
        <v>100</v>
      </c>
      <c r="B33" s="98" t="s">
        <v>272</v>
      </c>
      <c r="C33" s="40" t="s">
        <v>151</v>
      </c>
      <c r="D33" s="39" t="s">
        <v>265</v>
      </c>
      <c r="E33" s="40" t="s">
        <v>101</v>
      </c>
      <c r="F33" s="99"/>
      <c r="G33" s="74" t="s">
        <v>44</v>
      </c>
      <c r="H33" s="32">
        <f>H34+H36</f>
        <v>14468.9</v>
      </c>
      <c r="I33" s="52"/>
      <c r="K33" s="124"/>
    </row>
    <row r="34" spans="1:9" ht="43.5">
      <c r="A34" s="142" t="s">
        <v>283</v>
      </c>
      <c r="B34" s="98" t="s">
        <v>272</v>
      </c>
      <c r="C34" s="31" t="s">
        <v>151</v>
      </c>
      <c r="D34" s="30" t="s">
        <v>265</v>
      </c>
      <c r="E34" s="40" t="s">
        <v>282</v>
      </c>
      <c r="F34" s="99"/>
      <c r="G34" s="74" t="s">
        <v>44</v>
      </c>
      <c r="H34" s="32">
        <f>H35</f>
        <v>8561.9</v>
      </c>
      <c r="I34" s="52"/>
    </row>
    <row r="35" spans="1:9" ht="15.75">
      <c r="A35" s="52" t="s">
        <v>115</v>
      </c>
      <c r="B35" s="98" t="s">
        <v>272</v>
      </c>
      <c r="C35" s="31" t="s">
        <v>151</v>
      </c>
      <c r="D35" s="30" t="s">
        <v>265</v>
      </c>
      <c r="E35" s="40" t="s">
        <v>282</v>
      </c>
      <c r="F35" s="99"/>
      <c r="G35" s="96" t="s">
        <v>203</v>
      </c>
      <c r="H35" s="32">
        <v>8561.9</v>
      </c>
      <c r="I35" s="52"/>
    </row>
    <row r="36" spans="1:9" ht="93.75" customHeight="1">
      <c r="A36" s="167" t="s">
        <v>285</v>
      </c>
      <c r="B36" s="92" t="s">
        <v>272</v>
      </c>
      <c r="C36" s="31" t="s">
        <v>151</v>
      </c>
      <c r="D36" s="30" t="s">
        <v>265</v>
      </c>
      <c r="E36" s="31" t="s">
        <v>284</v>
      </c>
      <c r="F36" s="82"/>
      <c r="G36" s="74" t="s">
        <v>44</v>
      </c>
      <c r="H36" s="32">
        <f>H37</f>
        <v>5907</v>
      </c>
      <c r="I36" s="52"/>
    </row>
    <row r="37" spans="1:9" ht="15.75">
      <c r="A37" s="144" t="s">
        <v>115</v>
      </c>
      <c r="B37" s="72" t="s">
        <v>272</v>
      </c>
      <c r="C37" s="68" t="s">
        <v>151</v>
      </c>
      <c r="D37" s="47" t="s">
        <v>265</v>
      </c>
      <c r="E37" s="68" t="s">
        <v>284</v>
      </c>
      <c r="F37" s="100"/>
      <c r="G37" s="101" t="s">
        <v>203</v>
      </c>
      <c r="H37" s="55">
        <v>5907</v>
      </c>
      <c r="I37" s="144"/>
    </row>
    <row r="38" spans="1:9" ht="15.75">
      <c r="A38" s="37" t="s">
        <v>63</v>
      </c>
      <c r="B38" s="93" t="s">
        <v>272</v>
      </c>
      <c r="C38" s="35" t="s">
        <v>152</v>
      </c>
      <c r="D38" s="34" t="s">
        <v>96</v>
      </c>
      <c r="E38" s="35" t="s">
        <v>42</v>
      </c>
      <c r="F38" s="34"/>
      <c r="G38" s="154" t="s">
        <v>44</v>
      </c>
      <c r="H38" s="36">
        <f aca="true" t="shared" si="3" ref="H38:I41">H39</f>
        <v>1120</v>
      </c>
      <c r="I38" s="36">
        <f t="shared" si="3"/>
        <v>0</v>
      </c>
    </row>
    <row r="39" spans="1:9" ht="15.75">
      <c r="A39" s="166" t="s">
        <v>64</v>
      </c>
      <c r="B39" s="89" t="s">
        <v>272</v>
      </c>
      <c r="C39" s="64" t="s">
        <v>152</v>
      </c>
      <c r="D39" s="38" t="s">
        <v>153</v>
      </c>
      <c r="E39" s="35" t="s">
        <v>42</v>
      </c>
      <c r="F39" s="34"/>
      <c r="G39" s="154" t="s">
        <v>44</v>
      </c>
      <c r="H39" s="66">
        <f t="shared" si="3"/>
        <v>1120</v>
      </c>
      <c r="I39" s="66">
        <f t="shared" si="3"/>
        <v>0</v>
      </c>
    </row>
    <row r="40" spans="1:9" ht="36" customHeight="1">
      <c r="A40" s="142" t="s">
        <v>81</v>
      </c>
      <c r="B40" s="92" t="s">
        <v>272</v>
      </c>
      <c r="C40" s="31" t="s">
        <v>152</v>
      </c>
      <c r="D40" s="30" t="s">
        <v>153</v>
      </c>
      <c r="E40" s="31" t="s">
        <v>65</v>
      </c>
      <c r="F40" s="30"/>
      <c r="G40" s="74" t="s">
        <v>44</v>
      </c>
      <c r="H40" s="32">
        <f t="shared" si="3"/>
        <v>1120</v>
      </c>
      <c r="I40" s="32">
        <f t="shared" si="3"/>
        <v>0</v>
      </c>
    </row>
    <row r="41" spans="1:9" ht="33" customHeight="1">
      <c r="A41" s="142" t="s">
        <v>82</v>
      </c>
      <c r="B41" s="92" t="s">
        <v>272</v>
      </c>
      <c r="C41" s="31" t="s">
        <v>152</v>
      </c>
      <c r="D41" s="30" t="s">
        <v>153</v>
      </c>
      <c r="E41" s="31" t="s">
        <v>120</v>
      </c>
      <c r="F41" s="30"/>
      <c r="G41" s="74" t="s">
        <v>44</v>
      </c>
      <c r="H41" s="32">
        <f t="shared" si="3"/>
        <v>1120</v>
      </c>
      <c r="I41" s="32">
        <f t="shared" si="3"/>
        <v>0</v>
      </c>
    </row>
    <row r="42" spans="1:9" ht="15.75">
      <c r="A42" s="144" t="s">
        <v>115</v>
      </c>
      <c r="B42" s="98" t="s">
        <v>272</v>
      </c>
      <c r="C42" s="40" t="s">
        <v>152</v>
      </c>
      <c r="D42" s="39" t="s">
        <v>153</v>
      </c>
      <c r="E42" s="40" t="s">
        <v>120</v>
      </c>
      <c r="F42" s="39"/>
      <c r="G42" s="95" t="s">
        <v>203</v>
      </c>
      <c r="H42" s="41">
        <f>420+700</f>
        <v>1120</v>
      </c>
      <c r="I42" s="145"/>
    </row>
    <row r="43" spans="1:9" ht="30">
      <c r="A43" s="33" t="s">
        <v>90</v>
      </c>
      <c r="B43" s="93" t="s">
        <v>272</v>
      </c>
      <c r="C43" s="35" t="s">
        <v>156</v>
      </c>
      <c r="D43" s="34" t="s">
        <v>96</v>
      </c>
      <c r="E43" s="35" t="s">
        <v>42</v>
      </c>
      <c r="F43" s="34"/>
      <c r="G43" s="154" t="s">
        <v>44</v>
      </c>
      <c r="H43" s="36">
        <f>H44+H51</f>
        <v>6779</v>
      </c>
      <c r="I43" s="36">
        <f>I44+I51</f>
        <v>0</v>
      </c>
    </row>
    <row r="44" spans="1:10" s="3" customFormat="1" ht="37.5" customHeight="1">
      <c r="A44" s="33" t="s">
        <v>135</v>
      </c>
      <c r="B44" s="89" t="s">
        <v>272</v>
      </c>
      <c r="C44" s="35" t="s">
        <v>156</v>
      </c>
      <c r="D44" s="34" t="s">
        <v>157</v>
      </c>
      <c r="E44" s="35" t="s">
        <v>42</v>
      </c>
      <c r="F44" s="34"/>
      <c r="G44" s="154" t="s">
        <v>44</v>
      </c>
      <c r="H44" s="36">
        <f>H48+H45</f>
        <v>4077</v>
      </c>
      <c r="I44" s="36">
        <f>I48+I45</f>
        <v>0</v>
      </c>
      <c r="J44"/>
    </row>
    <row r="45" spans="1:9" ht="29.25" customHeight="1">
      <c r="A45" s="143" t="s">
        <v>108</v>
      </c>
      <c r="B45" s="102" t="s">
        <v>272</v>
      </c>
      <c r="C45" s="54" t="s">
        <v>156</v>
      </c>
      <c r="D45" s="53" t="s">
        <v>157</v>
      </c>
      <c r="E45" s="54" t="s">
        <v>109</v>
      </c>
      <c r="F45" s="53" t="s">
        <v>44</v>
      </c>
      <c r="G45" s="74" t="s">
        <v>44</v>
      </c>
      <c r="H45" s="55">
        <f>H46</f>
        <v>1807</v>
      </c>
      <c r="I45" s="55">
        <f>I46</f>
        <v>0</v>
      </c>
    </row>
    <row r="46" spans="1:9" ht="45.75" customHeight="1">
      <c r="A46" s="143" t="s">
        <v>110</v>
      </c>
      <c r="B46" s="102" t="s">
        <v>272</v>
      </c>
      <c r="C46" s="54" t="s">
        <v>156</v>
      </c>
      <c r="D46" s="53" t="s">
        <v>157</v>
      </c>
      <c r="E46" s="54" t="s">
        <v>136</v>
      </c>
      <c r="F46" s="53" t="s">
        <v>111</v>
      </c>
      <c r="G46" s="74" t="s">
        <v>44</v>
      </c>
      <c r="H46" s="55">
        <f>H47</f>
        <v>1807</v>
      </c>
      <c r="I46" s="55">
        <f>I47</f>
        <v>0</v>
      </c>
    </row>
    <row r="47" spans="1:9" ht="15" customHeight="1">
      <c r="A47" s="144" t="s">
        <v>115</v>
      </c>
      <c r="B47" s="102" t="s">
        <v>272</v>
      </c>
      <c r="C47" s="54" t="s">
        <v>156</v>
      </c>
      <c r="D47" s="53" t="s">
        <v>157</v>
      </c>
      <c r="E47" s="54" t="s">
        <v>136</v>
      </c>
      <c r="F47" s="53"/>
      <c r="G47" s="103" t="s">
        <v>203</v>
      </c>
      <c r="H47" s="55">
        <v>1807</v>
      </c>
      <c r="I47" s="55"/>
    </row>
    <row r="48" spans="1:9" ht="15.75">
      <c r="A48" s="52" t="s">
        <v>19</v>
      </c>
      <c r="B48" s="92" t="s">
        <v>272</v>
      </c>
      <c r="C48" s="31" t="s">
        <v>156</v>
      </c>
      <c r="D48" s="30" t="s">
        <v>157</v>
      </c>
      <c r="E48" s="31" t="s">
        <v>20</v>
      </c>
      <c r="F48" s="30"/>
      <c r="G48" s="74" t="s">
        <v>44</v>
      </c>
      <c r="H48" s="32">
        <f>H49</f>
        <v>2270</v>
      </c>
      <c r="I48" s="32">
        <f>I49</f>
        <v>0</v>
      </c>
    </row>
    <row r="49" spans="1:9" ht="29.25">
      <c r="A49" s="142" t="s">
        <v>91</v>
      </c>
      <c r="B49" s="98" t="s">
        <v>272</v>
      </c>
      <c r="C49" s="40" t="s">
        <v>156</v>
      </c>
      <c r="D49" s="39" t="s">
        <v>157</v>
      </c>
      <c r="E49" s="31" t="s">
        <v>137</v>
      </c>
      <c r="F49" s="30"/>
      <c r="G49" s="74" t="s">
        <v>44</v>
      </c>
      <c r="H49" s="41">
        <f>H50</f>
        <v>2270</v>
      </c>
      <c r="I49" s="41">
        <f>I50</f>
        <v>0</v>
      </c>
    </row>
    <row r="50" spans="1:9" ht="15.75">
      <c r="A50" s="52" t="s">
        <v>115</v>
      </c>
      <c r="B50" s="92" t="s">
        <v>272</v>
      </c>
      <c r="C50" s="31" t="s">
        <v>156</v>
      </c>
      <c r="D50" s="30" t="s">
        <v>157</v>
      </c>
      <c r="E50" s="31" t="s">
        <v>137</v>
      </c>
      <c r="F50" s="30"/>
      <c r="G50" s="74" t="s">
        <v>203</v>
      </c>
      <c r="H50" s="32">
        <f>2894-624</f>
        <v>2270</v>
      </c>
      <c r="I50" s="52"/>
    </row>
    <row r="51" spans="1:10" s="3" customFormat="1" ht="30">
      <c r="A51" s="26" t="s">
        <v>84</v>
      </c>
      <c r="B51" s="89" t="s">
        <v>272</v>
      </c>
      <c r="C51" s="64" t="s">
        <v>156</v>
      </c>
      <c r="D51" s="38" t="s">
        <v>155</v>
      </c>
      <c r="E51" s="35" t="s">
        <v>42</v>
      </c>
      <c r="F51" s="34"/>
      <c r="G51" s="154" t="s">
        <v>44</v>
      </c>
      <c r="H51" s="66">
        <f>H54+H57+H59</f>
        <v>2702</v>
      </c>
      <c r="I51" s="66">
        <f>I52+I55</f>
        <v>0</v>
      </c>
      <c r="J51"/>
    </row>
    <row r="52" spans="1:9" ht="43.5">
      <c r="A52" s="142" t="s">
        <v>85</v>
      </c>
      <c r="B52" s="98" t="s">
        <v>272</v>
      </c>
      <c r="C52" s="40" t="s">
        <v>156</v>
      </c>
      <c r="D52" s="39" t="s">
        <v>155</v>
      </c>
      <c r="E52" s="40" t="s">
        <v>66</v>
      </c>
      <c r="F52" s="99"/>
      <c r="G52" s="74" t="s">
        <v>44</v>
      </c>
      <c r="H52" s="41">
        <f>H53</f>
        <v>968</v>
      </c>
      <c r="I52" s="41">
        <f>I53</f>
        <v>0</v>
      </c>
    </row>
    <row r="53" spans="1:9" ht="15.75">
      <c r="A53" s="52" t="s">
        <v>25</v>
      </c>
      <c r="B53" s="98" t="s">
        <v>272</v>
      </c>
      <c r="C53" s="40" t="s">
        <v>156</v>
      </c>
      <c r="D53" s="39" t="s">
        <v>155</v>
      </c>
      <c r="E53" s="40" t="s">
        <v>140</v>
      </c>
      <c r="F53" s="99"/>
      <c r="G53" s="74" t="s">
        <v>44</v>
      </c>
      <c r="H53" s="41">
        <f>H54</f>
        <v>968</v>
      </c>
      <c r="I53" s="41">
        <f>I54</f>
        <v>0</v>
      </c>
    </row>
    <row r="54" spans="1:9" ht="15.75">
      <c r="A54" s="144" t="s">
        <v>115</v>
      </c>
      <c r="B54" s="98" t="s">
        <v>272</v>
      </c>
      <c r="C54" s="40" t="s">
        <v>156</v>
      </c>
      <c r="D54" s="39" t="s">
        <v>155</v>
      </c>
      <c r="E54" s="40" t="s">
        <v>140</v>
      </c>
      <c r="F54" s="99"/>
      <c r="G54" s="103" t="s">
        <v>203</v>
      </c>
      <c r="H54" s="41">
        <f>598+500+800-250-550-90-40+754-754</f>
        <v>968</v>
      </c>
      <c r="I54" s="145"/>
    </row>
    <row r="55" spans="1:9" ht="15.75">
      <c r="A55" s="52" t="s">
        <v>100</v>
      </c>
      <c r="B55" s="98" t="s">
        <v>272</v>
      </c>
      <c r="C55" s="40" t="s">
        <v>156</v>
      </c>
      <c r="D55" s="39" t="s">
        <v>155</v>
      </c>
      <c r="E55" s="40" t="s">
        <v>101</v>
      </c>
      <c r="F55" s="99"/>
      <c r="G55" s="74" t="s">
        <v>44</v>
      </c>
      <c r="H55" s="41">
        <f>H56+H58</f>
        <v>1734.0000000000002</v>
      </c>
      <c r="I55" s="41">
        <f>I56</f>
        <v>0</v>
      </c>
    </row>
    <row r="56" spans="1:9" ht="47.25" customHeight="1">
      <c r="A56" s="142" t="s">
        <v>286</v>
      </c>
      <c r="B56" s="98" t="s">
        <v>272</v>
      </c>
      <c r="C56" s="40" t="s">
        <v>156</v>
      </c>
      <c r="D56" s="39" t="s">
        <v>155</v>
      </c>
      <c r="E56" s="40" t="s">
        <v>197</v>
      </c>
      <c r="F56" s="99"/>
      <c r="G56" s="74" t="s">
        <v>44</v>
      </c>
      <c r="H56" s="41">
        <f>H57</f>
        <v>1484.8000000000002</v>
      </c>
      <c r="I56" s="41">
        <f>I57</f>
        <v>0</v>
      </c>
    </row>
    <row r="57" spans="1:9" ht="15.75">
      <c r="A57" s="144" t="s">
        <v>115</v>
      </c>
      <c r="B57" s="92" t="s">
        <v>272</v>
      </c>
      <c r="C57" s="40" t="s">
        <v>156</v>
      </c>
      <c r="D57" s="39" t="s">
        <v>155</v>
      </c>
      <c r="E57" s="40" t="s">
        <v>197</v>
      </c>
      <c r="F57" s="99"/>
      <c r="G57" s="62" t="s">
        <v>203</v>
      </c>
      <c r="H57" s="41">
        <f>2840.8-1256-100</f>
        <v>1484.8000000000002</v>
      </c>
      <c r="I57" s="145"/>
    </row>
    <row r="58" spans="1:9" ht="45" customHeight="1">
      <c r="A58" s="142" t="s">
        <v>287</v>
      </c>
      <c r="B58" s="92" t="s">
        <v>272</v>
      </c>
      <c r="C58" s="31" t="s">
        <v>156</v>
      </c>
      <c r="D58" s="30" t="s">
        <v>155</v>
      </c>
      <c r="E58" s="31" t="s">
        <v>288</v>
      </c>
      <c r="F58" s="30"/>
      <c r="G58" s="74" t="s">
        <v>44</v>
      </c>
      <c r="H58" s="32">
        <f>H59</f>
        <v>249.2</v>
      </c>
      <c r="I58" s="52"/>
    </row>
    <row r="59" spans="1:9" ht="15.75">
      <c r="A59" s="144" t="s">
        <v>115</v>
      </c>
      <c r="B59" s="102" t="s">
        <v>272</v>
      </c>
      <c r="C59" s="54" t="s">
        <v>156</v>
      </c>
      <c r="D59" s="53" t="s">
        <v>155</v>
      </c>
      <c r="E59" s="54" t="s">
        <v>288</v>
      </c>
      <c r="F59" s="53"/>
      <c r="G59" s="103" t="s">
        <v>203</v>
      </c>
      <c r="H59" s="73">
        <f>200+195.2-146</f>
        <v>249.2</v>
      </c>
      <c r="I59" s="161"/>
    </row>
    <row r="60" spans="1:9" ht="15.75">
      <c r="A60" s="37" t="s">
        <v>51</v>
      </c>
      <c r="B60" s="93" t="s">
        <v>272</v>
      </c>
      <c r="C60" s="35" t="s">
        <v>153</v>
      </c>
      <c r="D60" s="34" t="s">
        <v>96</v>
      </c>
      <c r="E60" s="35" t="s">
        <v>42</v>
      </c>
      <c r="F60" s="34"/>
      <c r="G60" s="154" t="s">
        <v>44</v>
      </c>
      <c r="H60" s="36">
        <f>H61+H66+H71</f>
        <v>79658.9</v>
      </c>
      <c r="I60" s="36">
        <f>I61+I66+I71</f>
        <v>1831.1</v>
      </c>
    </row>
    <row r="61" spans="1:10" s="3" customFormat="1" ht="15.75">
      <c r="A61" s="166" t="s">
        <v>77</v>
      </c>
      <c r="B61" s="89" t="s">
        <v>272</v>
      </c>
      <c r="C61" s="64" t="s">
        <v>153</v>
      </c>
      <c r="D61" s="38" t="s">
        <v>160</v>
      </c>
      <c r="E61" s="35" t="s">
        <v>42</v>
      </c>
      <c r="F61" s="34"/>
      <c r="G61" s="154" t="s">
        <v>44</v>
      </c>
      <c r="H61" s="66">
        <f aca="true" t="shared" si="4" ref="H61:I64">H62</f>
        <v>9476</v>
      </c>
      <c r="I61" s="66">
        <f t="shared" si="4"/>
        <v>0</v>
      </c>
      <c r="J61"/>
    </row>
    <row r="62" spans="1:9" ht="15.75">
      <c r="A62" s="52" t="s">
        <v>141</v>
      </c>
      <c r="B62" s="92" t="s">
        <v>272</v>
      </c>
      <c r="C62" s="54" t="s">
        <v>153</v>
      </c>
      <c r="D62" s="53" t="s">
        <v>160</v>
      </c>
      <c r="E62" s="31" t="s">
        <v>142</v>
      </c>
      <c r="F62" s="30"/>
      <c r="G62" s="74" t="s">
        <v>44</v>
      </c>
      <c r="H62" s="32">
        <f t="shared" si="4"/>
        <v>9476</v>
      </c>
      <c r="I62" s="32">
        <f t="shared" si="4"/>
        <v>0</v>
      </c>
    </row>
    <row r="63" spans="1:9" ht="15.75">
      <c r="A63" s="52" t="s">
        <v>143</v>
      </c>
      <c r="B63" s="92" t="s">
        <v>272</v>
      </c>
      <c r="C63" s="54" t="s">
        <v>153</v>
      </c>
      <c r="D63" s="53" t="s">
        <v>160</v>
      </c>
      <c r="E63" s="31" t="s">
        <v>144</v>
      </c>
      <c r="F63" s="30"/>
      <c r="G63" s="74" t="s">
        <v>44</v>
      </c>
      <c r="H63" s="32">
        <f t="shared" si="4"/>
        <v>9476</v>
      </c>
      <c r="I63" s="32">
        <f t="shared" si="4"/>
        <v>0</v>
      </c>
    </row>
    <row r="64" spans="1:9" ht="49.5" customHeight="1">
      <c r="A64" s="142" t="s">
        <v>249</v>
      </c>
      <c r="B64" s="102" t="s">
        <v>272</v>
      </c>
      <c r="C64" s="54" t="s">
        <v>153</v>
      </c>
      <c r="D64" s="53" t="s">
        <v>160</v>
      </c>
      <c r="E64" s="31" t="s">
        <v>146</v>
      </c>
      <c r="F64" s="30" t="s">
        <v>44</v>
      </c>
      <c r="G64" s="74" t="s">
        <v>44</v>
      </c>
      <c r="H64" s="55">
        <f t="shared" si="4"/>
        <v>9476</v>
      </c>
      <c r="I64" s="55">
        <f t="shared" si="4"/>
        <v>0</v>
      </c>
    </row>
    <row r="65" spans="1:9" ht="15.75">
      <c r="A65" s="144" t="s">
        <v>115</v>
      </c>
      <c r="B65" s="102" t="s">
        <v>272</v>
      </c>
      <c r="C65" s="54" t="s">
        <v>153</v>
      </c>
      <c r="D65" s="53" t="s">
        <v>160</v>
      </c>
      <c r="E65" s="31" t="s">
        <v>146</v>
      </c>
      <c r="F65" s="30" t="s">
        <v>112</v>
      </c>
      <c r="G65" s="62" t="s">
        <v>203</v>
      </c>
      <c r="H65" s="55">
        <f>9476</f>
        <v>9476</v>
      </c>
      <c r="I65" s="55"/>
    </row>
    <row r="66" spans="1:10" s="3" customFormat="1" ht="15.75">
      <c r="A66" s="166" t="s">
        <v>78</v>
      </c>
      <c r="B66" s="89" t="s">
        <v>272</v>
      </c>
      <c r="C66" s="64" t="s">
        <v>153</v>
      </c>
      <c r="D66" s="38" t="s">
        <v>157</v>
      </c>
      <c r="E66" s="35" t="s">
        <v>42</v>
      </c>
      <c r="F66" s="34"/>
      <c r="G66" s="154" t="s">
        <v>44</v>
      </c>
      <c r="H66" s="66">
        <f>H67</f>
        <v>27933.2</v>
      </c>
      <c r="I66" s="66">
        <f>I67</f>
        <v>0</v>
      </c>
      <c r="J66"/>
    </row>
    <row r="67" spans="1:9" ht="15.75">
      <c r="A67" s="144" t="s">
        <v>78</v>
      </c>
      <c r="B67" s="102" t="s">
        <v>272</v>
      </c>
      <c r="C67" s="54" t="s">
        <v>153</v>
      </c>
      <c r="D67" s="53" t="s">
        <v>157</v>
      </c>
      <c r="E67" s="31" t="s">
        <v>161</v>
      </c>
      <c r="F67" s="30"/>
      <c r="G67" s="74" t="s">
        <v>44</v>
      </c>
      <c r="H67" s="55">
        <f>H68</f>
        <v>27933.2</v>
      </c>
      <c r="I67" s="55">
        <f>I68</f>
        <v>0</v>
      </c>
    </row>
    <row r="68" spans="1:9" ht="15.75">
      <c r="A68" s="144" t="s">
        <v>162</v>
      </c>
      <c r="B68" s="102" t="s">
        <v>272</v>
      </c>
      <c r="C68" s="54" t="s">
        <v>153</v>
      </c>
      <c r="D68" s="53" t="s">
        <v>157</v>
      </c>
      <c r="E68" s="31" t="s">
        <v>164</v>
      </c>
      <c r="F68" s="30"/>
      <c r="G68" s="74" t="s">
        <v>44</v>
      </c>
      <c r="H68" s="55">
        <f>H69</f>
        <v>27933.2</v>
      </c>
      <c r="I68" s="55">
        <f>I70</f>
        <v>0</v>
      </c>
    </row>
    <row r="69" spans="1:9" ht="15.75">
      <c r="A69" s="144" t="s">
        <v>218</v>
      </c>
      <c r="B69" s="102" t="s">
        <v>272</v>
      </c>
      <c r="C69" s="54" t="s">
        <v>153</v>
      </c>
      <c r="D69" s="53" t="s">
        <v>157</v>
      </c>
      <c r="E69" s="31" t="s">
        <v>219</v>
      </c>
      <c r="F69" s="30"/>
      <c r="G69" s="74" t="s">
        <v>44</v>
      </c>
      <c r="H69" s="55">
        <f>H70</f>
        <v>27933.2</v>
      </c>
      <c r="I69" s="55"/>
    </row>
    <row r="70" spans="1:9" ht="15.75">
      <c r="A70" s="144" t="s">
        <v>115</v>
      </c>
      <c r="B70" s="102" t="s">
        <v>272</v>
      </c>
      <c r="C70" s="54" t="s">
        <v>153</v>
      </c>
      <c r="D70" s="53" t="s">
        <v>157</v>
      </c>
      <c r="E70" s="31" t="s">
        <v>219</v>
      </c>
      <c r="F70" s="30"/>
      <c r="G70" s="61" t="s">
        <v>203</v>
      </c>
      <c r="H70" s="55">
        <f>17891+10000+42.2</f>
        <v>27933.2</v>
      </c>
      <c r="I70" s="55"/>
    </row>
    <row r="71" spans="1:10" s="3" customFormat="1" ht="15.75">
      <c r="A71" s="166" t="s">
        <v>52</v>
      </c>
      <c r="B71" s="89" t="s">
        <v>272</v>
      </c>
      <c r="C71" s="64" t="s">
        <v>153</v>
      </c>
      <c r="D71" s="38" t="s">
        <v>154</v>
      </c>
      <c r="E71" s="35" t="s">
        <v>42</v>
      </c>
      <c r="F71" s="34"/>
      <c r="G71" s="154" t="s">
        <v>44</v>
      </c>
      <c r="H71" s="66">
        <f>H77+H82+H72+H78</f>
        <v>42249.7</v>
      </c>
      <c r="I71" s="66">
        <f>I77+I82+I72+I78</f>
        <v>1831.1</v>
      </c>
      <c r="J71"/>
    </row>
    <row r="72" spans="1:10" s="3" customFormat="1" ht="30.75" customHeight="1">
      <c r="A72" s="142" t="s">
        <v>81</v>
      </c>
      <c r="B72" s="102" t="s">
        <v>272</v>
      </c>
      <c r="C72" s="54" t="s">
        <v>153</v>
      </c>
      <c r="D72" s="53" t="s">
        <v>154</v>
      </c>
      <c r="E72" s="31" t="s">
        <v>107</v>
      </c>
      <c r="F72" s="34"/>
      <c r="G72" s="74" t="s">
        <v>44</v>
      </c>
      <c r="H72" s="55">
        <f>H73</f>
        <v>35218.6</v>
      </c>
      <c r="I72" s="66"/>
      <c r="J72"/>
    </row>
    <row r="73" spans="1:10" s="3" customFormat="1" ht="15.75">
      <c r="A73" s="52" t="s">
        <v>25</v>
      </c>
      <c r="B73" s="102" t="s">
        <v>272</v>
      </c>
      <c r="C73" s="54" t="s">
        <v>153</v>
      </c>
      <c r="D73" s="53" t="s">
        <v>154</v>
      </c>
      <c r="E73" s="31" t="s">
        <v>313</v>
      </c>
      <c r="F73" s="30"/>
      <c r="G73" s="74" t="s">
        <v>44</v>
      </c>
      <c r="H73" s="55">
        <f>H74</f>
        <v>35218.6</v>
      </c>
      <c r="I73" s="66"/>
      <c r="J73"/>
    </row>
    <row r="74" spans="1:10" s="3" customFormat="1" ht="15.75">
      <c r="A74" s="52" t="s">
        <v>200</v>
      </c>
      <c r="B74" s="102" t="s">
        <v>272</v>
      </c>
      <c r="C74" s="54" t="s">
        <v>153</v>
      </c>
      <c r="D74" s="53" t="s">
        <v>154</v>
      </c>
      <c r="E74" s="31" t="s">
        <v>313</v>
      </c>
      <c r="F74" s="30"/>
      <c r="G74" s="115" t="s">
        <v>201</v>
      </c>
      <c r="H74" s="32">
        <f>32351.9+1726.7+755+385</f>
        <v>35218.6</v>
      </c>
      <c r="I74" s="66"/>
      <c r="J74"/>
    </row>
    <row r="75" spans="1:9" ht="28.5" customHeight="1">
      <c r="A75" s="142" t="s">
        <v>86</v>
      </c>
      <c r="B75" s="92" t="s">
        <v>272</v>
      </c>
      <c r="C75" s="54" t="s">
        <v>153</v>
      </c>
      <c r="D75" s="30" t="s">
        <v>154</v>
      </c>
      <c r="E75" s="31" t="s">
        <v>58</v>
      </c>
      <c r="F75" s="30"/>
      <c r="G75" s="74" t="s">
        <v>44</v>
      </c>
      <c r="H75" s="32">
        <f>H76</f>
        <v>3080</v>
      </c>
      <c r="I75" s="32">
        <f>I77</f>
        <v>0</v>
      </c>
    </row>
    <row r="76" spans="1:9" ht="15.75">
      <c r="A76" s="143" t="s">
        <v>240</v>
      </c>
      <c r="B76" s="98" t="s">
        <v>272</v>
      </c>
      <c r="C76" s="54" t="s">
        <v>153</v>
      </c>
      <c r="D76" s="39" t="s">
        <v>154</v>
      </c>
      <c r="E76" s="40" t="s">
        <v>241</v>
      </c>
      <c r="F76" s="39"/>
      <c r="G76" s="74" t="s">
        <v>44</v>
      </c>
      <c r="H76" s="41">
        <f>H77</f>
        <v>3080</v>
      </c>
      <c r="I76" s="41"/>
    </row>
    <row r="77" spans="1:9" ht="15.75">
      <c r="A77" s="144" t="s">
        <v>115</v>
      </c>
      <c r="B77" s="98" t="s">
        <v>272</v>
      </c>
      <c r="C77" s="54" t="s">
        <v>153</v>
      </c>
      <c r="D77" s="39" t="s">
        <v>154</v>
      </c>
      <c r="E77" s="40" t="s">
        <v>241</v>
      </c>
      <c r="F77" s="39"/>
      <c r="G77" s="62" t="s">
        <v>203</v>
      </c>
      <c r="H77" s="41">
        <f>1400+1680</f>
        <v>3080</v>
      </c>
      <c r="I77" s="145"/>
    </row>
    <row r="78" spans="1:9" ht="15.75">
      <c r="A78" s="129" t="s">
        <v>363</v>
      </c>
      <c r="B78" s="98" t="s">
        <v>272</v>
      </c>
      <c r="C78" s="54" t="s">
        <v>153</v>
      </c>
      <c r="D78" s="39" t="s">
        <v>154</v>
      </c>
      <c r="E78" s="40" t="s">
        <v>362</v>
      </c>
      <c r="F78" s="39"/>
      <c r="G78" s="62" t="s">
        <v>44</v>
      </c>
      <c r="H78" s="41">
        <f>H79</f>
        <v>1831.1</v>
      </c>
      <c r="I78" s="200">
        <f>I79</f>
        <v>1831.1</v>
      </c>
    </row>
    <row r="79" spans="1:10" ht="86.25">
      <c r="A79" s="237" t="s">
        <v>360</v>
      </c>
      <c r="B79" s="98" t="s">
        <v>272</v>
      </c>
      <c r="C79" s="54" t="s">
        <v>153</v>
      </c>
      <c r="D79" s="39" t="s">
        <v>154</v>
      </c>
      <c r="E79" s="40" t="s">
        <v>361</v>
      </c>
      <c r="F79" s="39"/>
      <c r="G79" s="62" t="s">
        <v>44</v>
      </c>
      <c r="H79" s="41">
        <f>H80+H81</f>
        <v>1831.1</v>
      </c>
      <c r="I79" s="41">
        <f>I80+I81</f>
        <v>1831.1</v>
      </c>
      <c r="J79" s="265"/>
    </row>
    <row r="80" spans="1:10" ht="15.75">
      <c r="A80" s="52" t="s">
        <v>250</v>
      </c>
      <c r="B80" s="98" t="s">
        <v>272</v>
      </c>
      <c r="C80" s="54" t="s">
        <v>153</v>
      </c>
      <c r="D80" s="39" t="s">
        <v>154</v>
      </c>
      <c r="E80" s="40" t="s">
        <v>361</v>
      </c>
      <c r="F80" s="39"/>
      <c r="G80" s="62" t="s">
        <v>69</v>
      </c>
      <c r="H80" s="41">
        <f>1500-300</f>
        <v>1200</v>
      </c>
      <c r="I80" s="41">
        <f>1500-300</f>
        <v>1200</v>
      </c>
      <c r="J80" s="265"/>
    </row>
    <row r="81" spans="1:10" ht="15.75">
      <c r="A81" s="144" t="s">
        <v>115</v>
      </c>
      <c r="B81" s="98" t="s">
        <v>272</v>
      </c>
      <c r="C81" s="54" t="s">
        <v>153</v>
      </c>
      <c r="D81" s="39" t="s">
        <v>154</v>
      </c>
      <c r="E81" s="40" t="s">
        <v>361</v>
      </c>
      <c r="F81" s="39"/>
      <c r="G81" s="62" t="s">
        <v>203</v>
      </c>
      <c r="H81" s="41">
        <f>331.1+300</f>
        <v>631.1</v>
      </c>
      <c r="I81" s="145">
        <f>331.1+300</f>
        <v>631.1</v>
      </c>
      <c r="J81" s="265"/>
    </row>
    <row r="82" spans="1:9" ht="15.75">
      <c r="A82" s="52" t="s">
        <v>100</v>
      </c>
      <c r="B82" s="98" t="s">
        <v>272</v>
      </c>
      <c r="C82" s="54" t="s">
        <v>153</v>
      </c>
      <c r="D82" s="39" t="s">
        <v>154</v>
      </c>
      <c r="E82" s="40" t="s">
        <v>101</v>
      </c>
      <c r="F82" s="39"/>
      <c r="G82" s="74" t="s">
        <v>44</v>
      </c>
      <c r="H82" s="41">
        <f>H83+H86</f>
        <v>2120</v>
      </c>
      <c r="I82" s="145"/>
    </row>
    <row r="83" spans="1:9" ht="43.5">
      <c r="A83" s="168" t="s">
        <v>290</v>
      </c>
      <c r="B83" s="98" t="s">
        <v>272</v>
      </c>
      <c r="C83" s="54" t="s">
        <v>153</v>
      </c>
      <c r="D83" s="39" t="s">
        <v>154</v>
      </c>
      <c r="E83" s="40" t="s">
        <v>289</v>
      </c>
      <c r="F83" s="39"/>
      <c r="G83" s="74" t="s">
        <v>44</v>
      </c>
      <c r="H83" s="41">
        <f>H84+H85</f>
        <v>1810</v>
      </c>
      <c r="I83" s="145"/>
    </row>
    <row r="84" spans="1:9" ht="15.75">
      <c r="A84" s="52" t="s">
        <v>250</v>
      </c>
      <c r="B84" s="98" t="s">
        <v>272</v>
      </c>
      <c r="C84" s="54" t="s">
        <v>153</v>
      </c>
      <c r="D84" s="39" t="s">
        <v>154</v>
      </c>
      <c r="E84" s="40" t="s">
        <v>289</v>
      </c>
      <c r="F84" s="39"/>
      <c r="G84" s="74" t="s">
        <v>69</v>
      </c>
      <c r="H84" s="41">
        <f>300</f>
        <v>300</v>
      </c>
      <c r="I84" s="145"/>
    </row>
    <row r="85" spans="1:9" ht="15.75">
      <c r="A85" s="144" t="s">
        <v>115</v>
      </c>
      <c r="B85" s="98" t="s">
        <v>272</v>
      </c>
      <c r="C85" s="54" t="s">
        <v>153</v>
      </c>
      <c r="D85" s="39" t="s">
        <v>154</v>
      </c>
      <c r="E85" s="40" t="s">
        <v>289</v>
      </c>
      <c r="F85" s="39"/>
      <c r="G85" s="62" t="s">
        <v>203</v>
      </c>
      <c r="H85" s="41">
        <f>1810-300</f>
        <v>1510</v>
      </c>
      <c r="I85" s="145"/>
    </row>
    <row r="86" spans="1:9" ht="29.25">
      <c r="A86" s="168" t="s">
        <v>355</v>
      </c>
      <c r="B86" s="98" t="s">
        <v>272</v>
      </c>
      <c r="C86" s="54" t="s">
        <v>153</v>
      </c>
      <c r="D86" s="39" t="s">
        <v>154</v>
      </c>
      <c r="E86" s="31" t="s">
        <v>192</v>
      </c>
      <c r="F86" s="82" t="s">
        <v>44</v>
      </c>
      <c r="G86" s="74" t="s">
        <v>44</v>
      </c>
      <c r="H86" s="41">
        <f>H87</f>
        <v>310</v>
      </c>
      <c r="I86" s="145"/>
    </row>
    <row r="87" spans="1:9" ht="15.75">
      <c r="A87" s="144" t="s">
        <v>115</v>
      </c>
      <c r="B87" s="98" t="s">
        <v>272</v>
      </c>
      <c r="C87" s="54" t="s">
        <v>153</v>
      </c>
      <c r="D87" s="39" t="s">
        <v>154</v>
      </c>
      <c r="E87" s="68" t="s">
        <v>192</v>
      </c>
      <c r="F87" s="47" t="s">
        <v>102</v>
      </c>
      <c r="G87" s="83" t="s">
        <v>203</v>
      </c>
      <c r="H87" s="41">
        <f>310</f>
        <v>310</v>
      </c>
      <c r="I87" s="145"/>
    </row>
    <row r="88" spans="1:10" s="3" customFormat="1" ht="15.75">
      <c r="A88" s="37" t="s">
        <v>21</v>
      </c>
      <c r="B88" s="93" t="s">
        <v>272</v>
      </c>
      <c r="C88" s="35" t="s">
        <v>165</v>
      </c>
      <c r="D88" s="34" t="s">
        <v>96</v>
      </c>
      <c r="E88" s="35" t="s">
        <v>42</v>
      </c>
      <c r="F88" s="34"/>
      <c r="G88" s="154" t="s">
        <v>44</v>
      </c>
      <c r="H88" s="36">
        <f>H89+H112+H107</f>
        <v>248843</v>
      </c>
      <c r="I88" s="36">
        <f>I89+I112+I107</f>
        <v>60839.9</v>
      </c>
      <c r="J88"/>
    </row>
    <row r="89" spans="1:10" s="3" customFormat="1" ht="15.75">
      <c r="A89" s="164" t="s">
        <v>54</v>
      </c>
      <c r="B89" s="89" t="s">
        <v>272</v>
      </c>
      <c r="C89" s="64" t="s">
        <v>165</v>
      </c>
      <c r="D89" s="38" t="s">
        <v>151</v>
      </c>
      <c r="E89" s="35" t="s">
        <v>42</v>
      </c>
      <c r="F89" s="34"/>
      <c r="G89" s="154" t="s">
        <v>44</v>
      </c>
      <c r="H89" s="66">
        <f>H90+H97+H100</f>
        <v>139627.7</v>
      </c>
      <c r="I89" s="66">
        <f>I90+I97+I100</f>
        <v>26288.9</v>
      </c>
      <c r="J89"/>
    </row>
    <row r="90" spans="1:10" s="3" customFormat="1" ht="29.25">
      <c r="A90" s="142" t="s">
        <v>330</v>
      </c>
      <c r="B90" s="102" t="s">
        <v>272</v>
      </c>
      <c r="C90" s="54" t="s">
        <v>165</v>
      </c>
      <c r="D90" s="53" t="s">
        <v>151</v>
      </c>
      <c r="E90" s="54" t="s">
        <v>327</v>
      </c>
      <c r="F90" s="53"/>
      <c r="G90" s="74" t="s">
        <v>44</v>
      </c>
      <c r="H90" s="55">
        <f>H91+H94</f>
        <v>104181.20000000001</v>
      </c>
      <c r="I90" s="55">
        <f>I91+I94</f>
        <v>26288.9</v>
      </c>
      <c r="J90"/>
    </row>
    <row r="91" spans="1:10" s="3" customFormat="1" ht="72">
      <c r="A91" s="142" t="s">
        <v>394</v>
      </c>
      <c r="B91" s="102" t="s">
        <v>272</v>
      </c>
      <c r="C91" s="54" t="s">
        <v>165</v>
      </c>
      <c r="D91" s="53" t="s">
        <v>151</v>
      </c>
      <c r="E91" s="54" t="s">
        <v>392</v>
      </c>
      <c r="F91" s="53"/>
      <c r="G91" s="74" t="s">
        <v>44</v>
      </c>
      <c r="H91" s="55">
        <f>H92</f>
        <v>67950.20000000001</v>
      </c>
      <c r="I91" s="55">
        <f>I92</f>
        <v>17525.9</v>
      </c>
      <c r="J91"/>
    </row>
    <row r="92" spans="1:10" s="3" customFormat="1" ht="57.75">
      <c r="A92" s="142" t="s">
        <v>393</v>
      </c>
      <c r="B92" s="102" t="s">
        <v>272</v>
      </c>
      <c r="C92" s="54" t="s">
        <v>165</v>
      </c>
      <c r="D92" s="53" t="s">
        <v>151</v>
      </c>
      <c r="E92" s="54" t="s">
        <v>391</v>
      </c>
      <c r="F92" s="53"/>
      <c r="G92" s="74" t="s">
        <v>44</v>
      </c>
      <c r="H92" s="55">
        <f>H93</f>
        <v>67950.20000000001</v>
      </c>
      <c r="I92" s="55">
        <f>I93</f>
        <v>17525.9</v>
      </c>
      <c r="J92"/>
    </row>
    <row r="93" spans="1:10" s="3" customFormat="1" ht="15.75">
      <c r="A93" s="52" t="s">
        <v>250</v>
      </c>
      <c r="B93" s="102" t="s">
        <v>272</v>
      </c>
      <c r="C93" s="54" t="s">
        <v>165</v>
      </c>
      <c r="D93" s="53" t="s">
        <v>151</v>
      </c>
      <c r="E93" s="54" t="s">
        <v>391</v>
      </c>
      <c r="F93" s="53"/>
      <c r="G93" s="74" t="s">
        <v>69</v>
      </c>
      <c r="H93" s="55">
        <f>17525.9+50424.3</f>
        <v>67950.20000000001</v>
      </c>
      <c r="I93" s="239">
        <v>17525.9</v>
      </c>
      <c r="J93"/>
    </row>
    <row r="94" spans="1:10" s="3" customFormat="1" ht="29.25">
      <c r="A94" s="142" t="s">
        <v>338</v>
      </c>
      <c r="B94" s="102" t="s">
        <v>272</v>
      </c>
      <c r="C94" s="54" t="s">
        <v>165</v>
      </c>
      <c r="D94" s="53" t="s">
        <v>151</v>
      </c>
      <c r="E94" s="54" t="s">
        <v>328</v>
      </c>
      <c r="F94" s="53"/>
      <c r="G94" s="74" t="s">
        <v>44</v>
      </c>
      <c r="H94" s="55">
        <f>H95</f>
        <v>36231</v>
      </c>
      <c r="I94" s="55">
        <f>I95</f>
        <v>8763</v>
      </c>
      <c r="J94"/>
    </row>
    <row r="95" spans="1:10" s="3" customFormat="1" ht="29.25">
      <c r="A95" s="142" t="s">
        <v>330</v>
      </c>
      <c r="B95" s="102" t="s">
        <v>272</v>
      </c>
      <c r="C95" s="54" t="s">
        <v>165</v>
      </c>
      <c r="D95" s="53" t="s">
        <v>151</v>
      </c>
      <c r="E95" s="54" t="s">
        <v>329</v>
      </c>
      <c r="F95" s="53"/>
      <c r="G95" s="74" t="s">
        <v>44</v>
      </c>
      <c r="H95" s="55">
        <f>H96</f>
        <v>36231</v>
      </c>
      <c r="I95" s="55">
        <f>I96</f>
        <v>8763</v>
      </c>
      <c r="J95"/>
    </row>
    <row r="96" spans="1:10" s="3" customFormat="1" ht="15.75">
      <c r="A96" s="52" t="s">
        <v>250</v>
      </c>
      <c r="B96" s="102" t="s">
        <v>272</v>
      </c>
      <c r="C96" s="54" t="s">
        <v>165</v>
      </c>
      <c r="D96" s="53" t="s">
        <v>151</v>
      </c>
      <c r="E96" s="54" t="s">
        <v>329</v>
      </c>
      <c r="F96" s="53"/>
      <c r="G96" s="62" t="s">
        <v>69</v>
      </c>
      <c r="H96" s="55">
        <f>7588+13876.4+6003.6+8763</f>
        <v>36231</v>
      </c>
      <c r="I96" s="239">
        <v>8763</v>
      </c>
      <c r="J96"/>
    </row>
    <row r="97" spans="1:10" s="3" customFormat="1" ht="15.75">
      <c r="A97" s="52" t="s">
        <v>22</v>
      </c>
      <c r="B97" s="92" t="s">
        <v>272</v>
      </c>
      <c r="C97" s="31" t="s">
        <v>165</v>
      </c>
      <c r="D97" s="30" t="s">
        <v>151</v>
      </c>
      <c r="E97" s="31" t="s">
        <v>23</v>
      </c>
      <c r="F97" s="30"/>
      <c r="G97" s="74" t="s">
        <v>44</v>
      </c>
      <c r="H97" s="32">
        <f>H98</f>
        <v>16896.5</v>
      </c>
      <c r="I97" s="32">
        <f>I98</f>
        <v>0</v>
      </c>
      <c r="J97"/>
    </row>
    <row r="98" spans="1:10" s="3" customFormat="1" ht="15.75">
      <c r="A98" s="142" t="s">
        <v>166</v>
      </c>
      <c r="B98" s="92" t="s">
        <v>272</v>
      </c>
      <c r="C98" s="31" t="s">
        <v>165</v>
      </c>
      <c r="D98" s="30" t="s">
        <v>151</v>
      </c>
      <c r="E98" s="31" t="s">
        <v>167</v>
      </c>
      <c r="F98" s="30"/>
      <c r="G98" s="74" t="s">
        <v>44</v>
      </c>
      <c r="H98" s="32">
        <f>H99</f>
        <v>16896.5</v>
      </c>
      <c r="I98" s="32">
        <f>I99</f>
        <v>0</v>
      </c>
      <c r="J98"/>
    </row>
    <row r="99" spans="1:10" s="3" customFormat="1" ht="15.75">
      <c r="A99" s="144" t="s">
        <v>115</v>
      </c>
      <c r="B99" s="92" t="s">
        <v>272</v>
      </c>
      <c r="C99" s="31" t="s">
        <v>165</v>
      </c>
      <c r="D99" s="30" t="s">
        <v>151</v>
      </c>
      <c r="E99" s="31" t="s">
        <v>167</v>
      </c>
      <c r="F99" s="30"/>
      <c r="G99" s="74" t="s">
        <v>203</v>
      </c>
      <c r="H99" s="32">
        <f>9025+17868.4-7588+7588+1249.3+3197.1+20294.6+5345.3-13876.4-20294.6-2715.1-3197.1</f>
        <v>16896.5</v>
      </c>
      <c r="I99" s="32"/>
      <c r="J99"/>
    </row>
    <row r="100" spans="1:10" s="3" customFormat="1" ht="15.75">
      <c r="A100" s="52" t="s">
        <v>100</v>
      </c>
      <c r="B100" s="92" t="s">
        <v>272</v>
      </c>
      <c r="C100" s="31" t="s">
        <v>165</v>
      </c>
      <c r="D100" s="30" t="s">
        <v>151</v>
      </c>
      <c r="E100" s="31" t="s">
        <v>101</v>
      </c>
      <c r="F100" s="30"/>
      <c r="G100" s="74" t="s">
        <v>44</v>
      </c>
      <c r="H100" s="32">
        <f>H101+H103+H105</f>
        <v>18550</v>
      </c>
      <c r="I100" s="32"/>
      <c r="J100"/>
    </row>
    <row r="101" spans="1:10" s="3" customFormat="1" ht="42.75">
      <c r="A101" s="170" t="s">
        <v>291</v>
      </c>
      <c r="B101" s="92" t="s">
        <v>272</v>
      </c>
      <c r="C101" s="31" t="s">
        <v>165</v>
      </c>
      <c r="D101" s="30" t="s">
        <v>151</v>
      </c>
      <c r="E101" s="31" t="s">
        <v>211</v>
      </c>
      <c r="F101" s="30"/>
      <c r="G101" s="74" t="s">
        <v>44</v>
      </c>
      <c r="H101" s="32">
        <f>H102</f>
        <v>900</v>
      </c>
      <c r="I101" s="32"/>
      <c r="J101"/>
    </row>
    <row r="102" spans="1:10" s="3" customFormat="1" ht="15.75">
      <c r="A102" s="144" t="s">
        <v>115</v>
      </c>
      <c r="B102" s="92" t="s">
        <v>272</v>
      </c>
      <c r="C102" s="31" t="s">
        <v>165</v>
      </c>
      <c r="D102" s="30" t="s">
        <v>151</v>
      </c>
      <c r="E102" s="31" t="s">
        <v>211</v>
      </c>
      <c r="F102" s="30"/>
      <c r="G102" s="74" t="s">
        <v>203</v>
      </c>
      <c r="H102" s="32">
        <v>900</v>
      </c>
      <c r="I102" s="32"/>
      <c r="J102"/>
    </row>
    <row r="103" spans="1:10" s="3" customFormat="1" ht="78" customHeight="1">
      <c r="A103" s="170" t="s">
        <v>255</v>
      </c>
      <c r="B103" s="92" t="s">
        <v>272</v>
      </c>
      <c r="C103" s="31" t="s">
        <v>165</v>
      </c>
      <c r="D103" s="30" t="s">
        <v>151</v>
      </c>
      <c r="E103" s="31" t="s">
        <v>292</v>
      </c>
      <c r="F103" s="30"/>
      <c r="G103" s="74" t="s">
        <v>44</v>
      </c>
      <c r="H103" s="32">
        <f>H104</f>
        <v>17050</v>
      </c>
      <c r="I103" s="32"/>
      <c r="J103"/>
    </row>
    <row r="104" spans="1:10" s="3" customFormat="1" ht="15.75">
      <c r="A104" s="161" t="s">
        <v>115</v>
      </c>
      <c r="B104" s="92" t="s">
        <v>272</v>
      </c>
      <c r="C104" s="31" t="s">
        <v>165</v>
      </c>
      <c r="D104" s="30" t="s">
        <v>151</v>
      </c>
      <c r="E104" s="31" t="s">
        <v>292</v>
      </c>
      <c r="F104" s="30"/>
      <c r="G104" s="74" t="s">
        <v>203</v>
      </c>
      <c r="H104" s="32">
        <f>2500+12680.4+3197.1-1327.5</f>
        <v>17050</v>
      </c>
      <c r="I104" s="32"/>
      <c r="J104"/>
    </row>
    <row r="105" spans="1:10" s="3" customFormat="1" ht="42.75">
      <c r="A105" s="170" t="s">
        <v>380</v>
      </c>
      <c r="B105" s="92" t="s">
        <v>272</v>
      </c>
      <c r="C105" s="31" t="s">
        <v>165</v>
      </c>
      <c r="D105" s="30" t="s">
        <v>151</v>
      </c>
      <c r="E105" s="31" t="s">
        <v>358</v>
      </c>
      <c r="F105" s="30"/>
      <c r="G105" s="74" t="s">
        <v>44</v>
      </c>
      <c r="H105" s="32">
        <f>H106</f>
        <v>600</v>
      </c>
      <c r="I105" s="32"/>
      <c r="J105"/>
    </row>
    <row r="106" spans="1:10" s="3" customFormat="1" ht="15.75">
      <c r="A106" s="52" t="s">
        <v>115</v>
      </c>
      <c r="B106" s="92" t="s">
        <v>272</v>
      </c>
      <c r="C106" s="31" t="s">
        <v>165</v>
      </c>
      <c r="D106" s="30" t="s">
        <v>151</v>
      </c>
      <c r="E106" s="31" t="s">
        <v>358</v>
      </c>
      <c r="F106" s="30"/>
      <c r="G106" s="74" t="s">
        <v>203</v>
      </c>
      <c r="H106" s="32">
        <v>600</v>
      </c>
      <c r="I106" s="32"/>
      <c r="J106"/>
    </row>
    <row r="107" spans="1:10" s="3" customFormat="1" ht="15.75">
      <c r="A107" s="17" t="s">
        <v>341</v>
      </c>
      <c r="B107" s="93" t="s">
        <v>272</v>
      </c>
      <c r="C107" s="35" t="s">
        <v>165</v>
      </c>
      <c r="D107" s="34" t="s">
        <v>152</v>
      </c>
      <c r="E107" s="35" t="s">
        <v>42</v>
      </c>
      <c r="F107" s="34"/>
      <c r="G107" s="181" t="s">
        <v>44</v>
      </c>
      <c r="H107" s="36">
        <f>H108</f>
        <v>23009.699999999997</v>
      </c>
      <c r="I107" s="36"/>
      <c r="J107"/>
    </row>
    <row r="108" spans="1:10" s="3" customFormat="1" ht="15.75">
      <c r="A108" s="125" t="s">
        <v>342</v>
      </c>
      <c r="B108" s="92" t="s">
        <v>272</v>
      </c>
      <c r="C108" s="31" t="s">
        <v>165</v>
      </c>
      <c r="D108" s="30" t="s">
        <v>152</v>
      </c>
      <c r="E108" s="31" t="s">
        <v>339</v>
      </c>
      <c r="F108" s="30"/>
      <c r="G108" s="61" t="s">
        <v>44</v>
      </c>
      <c r="H108" s="32">
        <f>H109</f>
        <v>23009.699999999997</v>
      </c>
      <c r="I108" s="32"/>
      <c r="J108"/>
    </row>
    <row r="109" spans="1:10" s="3" customFormat="1" ht="15.75">
      <c r="A109" s="125" t="s">
        <v>343</v>
      </c>
      <c r="B109" s="92" t="s">
        <v>272</v>
      </c>
      <c r="C109" s="31" t="s">
        <v>165</v>
      </c>
      <c r="D109" s="30" t="s">
        <v>152</v>
      </c>
      <c r="E109" s="31" t="s">
        <v>339</v>
      </c>
      <c r="F109" s="30"/>
      <c r="G109" s="61" t="s">
        <v>44</v>
      </c>
      <c r="H109" s="32">
        <f>H110</f>
        <v>23009.699999999997</v>
      </c>
      <c r="I109" s="32"/>
      <c r="J109"/>
    </row>
    <row r="110" spans="1:10" s="3" customFormat="1" ht="15.75">
      <c r="A110" s="134" t="s">
        <v>343</v>
      </c>
      <c r="B110" s="92" t="s">
        <v>272</v>
      </c>
      <c r="C110" s="31" t="s">
        <v>165</v>
      </c>
      <c r="D110" s="30" t="s">
        <v>152</v>
      </c>
      <c r="E110" s="31" t="s">
        <v>340</v>
      </c>
      <c r="F110" s="30"/>
      <c r="G110" s="61" t="s">
        <v>44</v>
      </c>
      <c r="H110" s="32">
        <f>H111</f>
        <v>23009.699999999997</v>
      </c>
      <c r="I110" s="32"/>
      <c r="J110"/>
    </row>
    <row r="111" spans="1:10" s="3" customFormat="1" ht="15.75">
      <c r="A111" s="182" t="s">
        <v>115</v>
      </c>
      <c r="B111" s="92" t="s">
        <v>272</v>
      </c>
      <c r="C111" s="31" t="s">
        <v>165</v>
      </c>
      <c r="D111" s="30" t="s">
        <v>152</v>
      </c>
      <c r="E111" s="31" t="s">
        <v>340</v>
      </c>
      <c r="F111" s="30"/>
      <c r="G111" s="61" t="s">
        <v>203</v>
      </c>
      <c r="H111" s="32">
        <f>20294.6+2715.1</f>
        <v>23009.699999999997</v>
      </c>
      <c r="I111" s="32"/>
      <c r="J111"/>
    </row>
    <row r="112" spans="1:9" ht="18.75" customHeight="1">
      <c r="A112" s="37" t="s">
        <v>103</v>
      </c>
      <c r="B112" s="93" t="s">
        <v>272</v>
      </c>
      <c r="C112" s="35" t="s">
        <v>165</v>
      </c>
      <c r="D112" s="34" t="s">
        <v>156</v>
      </c>
      <c r="E112" s="35" t="s">
        <v>42</v>
      </c>
      <c r="F112" s="34"/>
      <c r="G112" s="154" t="s">
        <v>44</v>
      </c>
      <c r="H112" s="36">
        <f>H113+H124</f>
        <v>86205.6</v>
      </c>
      <c r="I112" s="36">
        <f>I113+I124</f>
        <v>34551</v>
      </c>
    </row>
    <row r="113" spans="1:9" ht="15.75">
      <c r="A113" s="52" t="s">
        <v>103</v>
      </c>
      <c r="B113" s="92" t="s">
        <v>272</v>
      </c>
      <c r="C113" s="31" t="s">
        <v>165</v>
      </c>
      <c r="D113" s="30" t="s">
        <v>156</v>
      </c>
      <c r="E113" s="40" t="s">
        <v>210</v>
      </c>
      <c r="F113" s="39"/>
      <c r="G113" s="74" t="s">
        <v>44</v>
      </c>
      <c r="H113" s="41">
        <f>H114+H118+H120+H122+H117</f>
        <v>75878.1</v>
      </c>
      <c r="I113" s="41">
        <f>I114+I118+I120+I122+I117</f>
        <v>34551</v>
      </c>
    </row>
    <row r="114" spans="1:10" s="3" customFormat="1" ht="15.75">
      <c r="A114" s="52" t="s">
        <v>220</v>
      </c>
      <c r="B114" s="92" t="s">
        <v>272</v>
      </c>
      <c r="C114" s="31" t="s">
        <v>165</v>
      </c>
      <c r="D114" s="30" t="s">
        <v>156</v>
      </c>
      <c r="E114" s="40" t="s">
        <v>221</v>
      </c>
      <c r="F114" s="82"/>
      <c r="G114" s="74" t="s">
        <v>44</v>
      </c>
      <c r="H114" s="32">
        <f>H115</f>
        <v>14311.2</v>
      </c>
      <c r="I114" s="32">
        <f>I115</f>
        <v>0</v>
      </c>
      <c r="J114"/>
    </row>
    <row r="115" spans="1:9" ht="15.75">
      <c r="A115" s="144" t="s">
        <v>115</v>
      </c>
      <c r="B115" s="92" t="s">
        <v>272</v>
      </c>
      <c r="C115" s="31" t="s">
        <v>165</v>
      </c>
      <c r="D115" s="30" t="s">
        <v>156</v>
      </c>
      <c r="E115" s="40" t="s">
        <v>221</v>
      </c>
      <c r="F115" s="82"/>
      <c r="G115" s="96" t="s">
        <v>203</v>
      </c>
      <c r="H115" s="32">
        <f>12290+1843.5+177.7</f>
        <v>14311.2</v>
      </c>
      <c r="I115" s="52"/>
    </row>
    <row r="116" spans="1:9" ht="48" customHeight="1">
      <c r="A116" s="180" t="s">
        <v>0</v>
      </c>
      <c r="B116" s="92" t="s">
        <v>272</v>
      </c>
      <c r="C116" s="31" t="s">
        <v>165</v>
      </c>
      <c r="D116" s="30" t="s">
        <v>156</v>
      </c>
      <c r="E116" s="40" t="s">
        <v>336</v>
      </c>
      <c r="F116" s="82"/>
      <c r="G116" s="96" t="s">
        <v>44</v>
      </c>
      <c r="H116" s="32">
        <f>H117</f>
        <v>300</v>
      </c>
      <c r="I116" s="52"/>
    </row>
    <row r="117" spans="1:9" ht="15.75">
      <c r="A117" s="144" t="s">
        <v>115</v>
      </c>
      <c r="B117" s="92" t="s">
        <v>272</v>
      </c>
      <c r="C117" s="31" t="s">
        <v>165</v>
      </c>
      <c r="D117" s="30" t="s">
        <v>156</v>
      </c>
      <c r="E117" s="40" t="s">
        <v>336</v>
      </c>
      <c r="F117" s="82"/>
      <c r="G117" s="96" t="s">
        <v>203</v>
      </c>
      <c r="H117" s="32">
        <f>300</f>
        <v>300</v>
      </c>
      <c r="I117" s="52"/>
    </row>
    <row r="118" spans="1:9" ht="15.75">
      <c r="A118" s="52" t="s">
        <v>106</v>
      </c>
      <c r="B118" s="92" t="s">
        <v>272</v>
      </c>
      <c r="C118" s="31" t="s">
        <v>165</v>
      </c>
      <c r="D118" s="30" t="s">
        <v>156</v>
      </c>
      <c r="E118" s="40" t="s">
        <v>222</v>
      </c>
      <c r="F118" s="82"/>
      <c r="G118" s="74" t="s">
        <v>44</v>
      </c>
      <c r="H118" s="32">
        <f>H119</f>
        <v>4500</v>
      </c>
      <c r="I118" s="32">
        <f>I119</f>
        <v>0</v>
      </c>
    </row>
    <row r="119" spans="1:9" ht="15.75">
      <c r="A119" s="144" t="s">
        <v>115</v>
      </c>
      <c r="B119" s="92" t="s">
        <v>272</v>
      </c>
      <c r="C119" s="31" t="s">
        <v>165</v>
      </c>
      <c r="D119" s="30" t="s">
        <v>156</v>
      </c>
      <c r="E119" s="40" t="s">
        <v>222</v>
      </c>
      <c r="F119" s="82"/>
      <c r="G119" s="96" t="s">
        <v>203</v>
      </c>
      <c r="H119" s="32">
        <v>4500</v>
      </c>
      <c r="I119" s="52"/>
    </row>
    <row r="120" spans="1:9" ht="15.75">
      <c r="A120" s="52" t="s">
        <v>114</v>
      </c>
      <c r="B120" s="92" t="s">
        <v>272</v>
      </c>
      <c r="C120" s="31" t="s">
        <v>165</v>
      </c>
      <c r="D120" s="30" t="s">
        <v>156</v>
      </c>
      <c r="E120" s="40" t="s">
        <v>223</v>
      </c>
      <c r="F120" s="82"/>
      <c r="G120" s="74" t="s">
        <v>44</v>
      </c>
      <c r="H120" s="32">
        <f>H121</f>
        <v>701.8</v>
      </c>
      <c r="I120" s="32">
        <f>I121</f>
        <v>0</v>
      </c>
    </row>
    <row r="121" spans="1:9" ht="15.75">
      <c r="A121" s="144" t="s">
        <v>115</v>
      </c>
      <c r="B121" s="92" t="s">
        <v>272</v>
      </c>
      <c r="C121" s="31" t="s">
        <v>165</v>
      </c>
      <c r="D121" s="30" t="s">
        <v>156</v>
      </c>
      <c r="E121" s="40" t="s">
        <v>223</v>
      </c>
      <c r="F121" s="82"/>
      <c r="G121" s="96" t="s">
        <v>203</v>
      </c>
      <c r="H121" s="32">
        <f>700+1.8</f>
        <v>701.8</v>
      </c>
      <c r="I121" s="52"/>
    </row>
    <row r="122" spans="1:9" ht="29.25">
      <c r="A122" s="142" t="s">
        <v>224</v>
      </c>
      <c r="B122" s="92" t="s">
        <v>272</v>
      </c>
      <c r="C122" s="31" t="s">
        <v>165</v>
      </c>
      <c r="D122" s="30" t="s">
        <v>156</v>
      </c>
      <c r="E122" s="40" t="s">
        <v>225</v>
      </c>
      <c r="F122" s="82"/>
      <c r="G122" s="74" t="s">
        <v>44</v>
      </c>
      <c r="H122" s="32">
        <f>H123</f>
        <v>56065.100000000006</v>
      </c>
      <c r="I122" s="32">
        <f>I123</f>
        <v>34551</v>
      </c>
    </row>
    <row r="123" spans="1:9" ht="15.75">
      <c r="A123" s="201" t="s">
        <v>115</v>
      </c>
      <c r="B123" s="197" t="s">
        <v>272</v>
      </c>
      <c r="C123" s="193" t="s">
        <v>165</v>
      </c>
      <c r="D123" s="194" t="s">
        <v>156</v>
      </c>
      <c r="E123" s="191" t="s">
        <v>225</v>
      </c>
      <c r="F123" s="206"/>
      <c r="G123" s="207" t="s">
        <v>203</v>
      </c>
      <c r="H123" s="71">
        <f>10295+600+1477.3+3500+9.2+6425.2-792.6+34551</f>
        <v>56065.100000000006</v>
      </c>
      <c r="I123" s="71">
        <v>34551</v>
      </c>
    </row>
    <row r="124" spans="1:9" ht="15.75">
      <c r="A124" s="52" t="s">
        <v>100</v>
      </c>
      <c r="B124" s="92" t="s">
        <v>272</v>
      </c>
      <c r="C124" s="31" t="s">
        <v>165</v>
      </c>
      <c r="D124" s="30" t="s">
        <v>156</v>
      </c>
      <c r="E124" s="40" t="s">
        <v>101</v>
      </c>
      <c r="F124" s="82"/>
      <c r="G124" s="74" t="s">
        <v>44</v>
      </c>
      <c r="H124" s="32">
        <f>H125</f>
        <v>10327.5</v>
      </c>
      <c r="I124" s="32">
        <f>I125</f>
        <v>0</v>
      </c>
    </row>
    <row r="125" spans="1:9" ht="47.25" customHeight="1">
      <c r="A125" s="142" t="s">
        <v>312</v>
      </c>
      <c r="B125" s="92" t="s">
        <v>272</v>
      </c>
      <c r="C125" s="31" t="s">
        <v>165</v>
      </c>
      <c r="D125" s="30" t="s">
        <v>156</v>
      </c>
      <c r="E125" s="40" t="s">
        <v>293</v>
      </c>
      <c r="F125" s="82"/>
      <c r="G125" s="74" t="s">
        <v>44</v>
      </c>
      <c r="H125" s="32">
        <f>H126</f>
        <v>10327.5</v>
      </c>
      <c r="I125" s="32">
        <f>I126</f>
        <v>0</v>
      </c>
    </row>
    <row r="126" spans="1:9" ht="15.75">
      <c r="A126" s="144" t="s">
        <v>115</v>
      </c>
      <c r="B126" s="92" t="s">
        <v>272</v>
      </c>
      <c r="C126" s="31" t="s">
        <v>165</v>
      </c>
      <c r="D126" s="30" t="s">
        <v>156</v>
      </c>
      <c r="E126" s="40" t="s">
        <v>293</v>
      </c>
      <c r="F126" s="82"/>
      <c r="G126" s="96" t="s">
        <v>203</v>
      </c>
      <c r="H126" s="32">
        <f>9000+1327.5</f>
        <v>10327.5</v>
      </c>
      <c r="I126" s="71"/>
    </row>
    <row r="127" spans="1:9" ht="15.75">
      <c r="A127" s="37" t="s">
        <v>39</v>
      </c>
      <c r="B127" s="93" t="s">
        <v>272</v>
      </c>
      <c r="C127" s="35" t="s">
        <v>170</v>
      </c>
      <c r="D127" s="34" t="s">
        <v>96</v>
      </c>
      <c r="E127" s="35" t="s">
        <v>42</v>
      </c>
      <c r="F127" s="34"/>
      <c r="G127" s="154" t="s">
        <v>44</v>
      </c>
      <c r="H127" s="36">
        <f aca="true" t="shared" si="5" ref="H127:I129">H128</f>
        <v>1962.6</v>
      </c>
      <c r="I127" s="36">
        <f t="shared" si="5"/>
        <v>0</v>
      </c>
    </row>
    <row r="128" spans="1:9" ht="15.75">
      <c r="A128" s="166" t="s">
        <v>40</v>
      </c>
      <c r="B128" s="89" t="s">
        <v>272</v>
      </c>
      <c r="C128" s="64" t="s">
        <v>170</v>
      </c>
      <c r="D128" s="38" t="s">
        <v>165</v>
      </c>
      <c r="E128" s="35" t="s">
        <v>42</v>
      </c>
      <c r="F128" s="34"/>
      <c r="G128" s="154" t="s">
        <v>44</v>
      </c>
      <c r="H128" s="66">
        <f t="shared" si="5"/>
        <v>1962.6</v>
      </c>
      <c r="I128" s="66">
        <f t="shared" si="5"/>
        <v>0</v>
      </c>
    </row>
    <row r="129" spans="1:9" ht="15.75">
      <c r="A129" s="52" t="s">
        <v>100</v>
      </c>
      <c r="B129" s="92" t="s">
        <v>272</v>
      </c>
      <c r="C129" s="31" t="s">
        <v>170</v>
      </c>
      <c r="D129" s="30" t="s">
        <v>165</v>
      </c>
      <c r="E129" s="31" t="s">
        <v>101</v>
      </c>
      <c r="F129" s="30"/>
      <c r="G129" s="74" t="s">
        <v>44</v>
      </c>
      <c r="H129" s="55">
        <f t="shared" si="5"/>
        <v>1962.6</v>
      </c>
      <c r="I129" s="55">
        <f t="shared" si="5"/>
        <v>0</v>
      </c>
    </row>
    <row r="130" spans="1:9" ht="29.25">
      <c r="A130" s="142" t="s">
        <v>294</v>
      </c>
      <c r="B130" s="98" t="s">
        <v>272</v>
      </c>
      <c r="C130" s="40" t="s">
        <v>170</v>
      </c>
      <c r="D130" s="39" t="s">
        <v>165</v>
      </c>
      <c r="E130" s="40" t="s">
        <v>196</v>
      </c>
      <c r="F130" s="39"/>
      <c r="G130" s="74" t="s">
        <v>44</v>
      </c>
      <c r="H130" s="41">
        <f>H131</f>
        <v>1962.6</v>
      </c>
      <c r="I130" s="41">
        <f>I131</f>
        <v>0</v>
      </c>
    </row>
    <row r="131" spans="1:9" ht="15.75">
      <c r="A131" s="52" t="s">
        <v>115</v>
      </c>
      <c r="B131" s="92" t="s">
        <v>272</v>
      </c>
      <c r="C131" s="31" t="s">
        <v>170</v>
      </c>
      <c r="D131" s="30" t="s">
        <v>165</v>
      </c>
      <c r="E131" s="31" t="s">
        <v>196</v>
      </c>
      <c r="F131" s="30"/>
      <c r="G131" s="96" t="s">
        <v>203</v>
      </c>
      <c r="H131" s="32">
        <f>360-90+1000+792.6-100</f>
        <v>1962.6</v>
      </c>
      <c r="I131" s="52"/>
    </row>
    <row r="132" spans="1:9" ht="15.75">
      <c r="A132" s="37" t="s">
        <v>270</v>
      </c>
      <c r="B132" s="93" t="s">
        <v>272</v>
      </c>
      <c r="C132" s="35" t="s">
        <v>157</v>
      </c>
      <c r="D132" s="34" t="s">
        <v>96</v>
      </c>
      <c r="E132" s="35" t="s">
        <v>42</v>
      </c>
      <c r="F132" s="34"/>
      <c r="G132" s="154" t="s">
        <v>44</v>
      </c>
      <c r="H132" s="36">
        <f>H134+H139</f>
        <v>566700.6</v>
      </c>
      <c r="I132" s="36">
        <f>I134+I139</f>
        <v>400000</v>
      </c>
    </row>
    <row r="133" spans="1:9" ht="15.75">
      <c r="A133" s="166" t="s">
        <v>182</v>
      </c>
      <c r="B133" s="89" t="s">
        <v>272</v>
      </c>
      <c r="C133" s="64" t="s">
        <v>434</v>
      </c>
      <c r="D133" s="38" t="s">
        <v>151</v>
      </c>
      <c r="E133" s="35" t="s">
        <v>42</v>
      </c>
      <c r="F133" s="34"/>
      <c r="G133" s="154" t="s">
        <v>44</v>
      </c>
      <c r="H133" s="66">
        <f aca="true" t="shared" si="6" ref="H133:I136">H134</f>
        <v>400000</v>
      </c>
      <c r="I133" s="66">
        <f t="shared" si="6"/>
        <v>400000</v>
      </c>
    </row>
    <row r="134" spans="1:9" ht="15.75">
      <c r="A134" s="52" t="s">
        <v>363</v>
      </c>
      <c r="B134" s="102" t="s">
        <v>272</v>
      </c>
      <c r="C134" s="54" t="s">
        <v>157</v>
      </c>
      <c r="D134" s="53" t="s">
        <v>151</v>
      </c>
      <c r="E134" s="31" t="s">
        <v>362</v>
      </c>
      <c r="F134" s="30"/>
      <c r="G134" s="226" t="s">
        <v>44</v>
      </c>
      <c r="H134" s="55">
        <f t="shared" si="6"/>
        <v>400000</v>
      </c>
      <c r="I134" s="55">
        <f t="shared" si="6"/>
        <v>400000</v>
      </c>
    </row>
    <row r="135" spans="1:9" ht="29.25">
      <c r="A135" s="142" t="s">
        <v>374</v>
      </c>
      <c r="B135" s="102" t="s">
        <v>272</v>
      </c>
      <c r="C135" s="54" t="s">
        <v>157</v>
      </c>
      <c r="D135" s="53" t="s">
        <v>151</v>
      </c>
      <c r="E135" s="31" t="s">
        <v>373</v>
      </c>
      <c r="F135" s="30"/>
      <c r="G135" s="226" t="s">
        <v>44</v>
      </c>
      <c r="H135" s="55">
        <f t="shared" si="6"/>
        <v>400000</v>
      </c>
      <c r="I135" s="55">
        <f t="shared" si="6"/>
        <v>400000</v>
      </c>
    </row>
    <row r="136" spans="1:9" ht="29.25">
      <c r="A136" s="142" t="s">
        <v>381</v>
      </c>
      <c r="B136" s="102" t="s">
        <v>272</v>
      </c>
      <c r="C136" s="54" t="s">
        <v>157</v>
      </c>
      <c r="D136" s="53" t="s">
        <v>151</v>
      </c>
      <c r="E136" s="31" t="s">
        <v>375</v>
      </c>
      <c r="F136" s="30"/>
      <c r="G136" s="226" t="s">
        <v>44</v>
      </c>
      <c r="H136" s="55">
        <f t="shared" si="6"/>
        <v>400000</v>
      </c>
      <c r="I136" s="55">
        <f t="shared" si="6"/>
        <v>400000</v>
      </c>
    </row>
    <row r="137" spans="1:9" ht="15.75">
      <c r="A137" s="204" t="s">
        <v>171</v>
      </c>
      <c r="B137" s="102" t="s">
        <v>272</v>
      </c>
      <c r="C137" s="54" t="s">
        <v>157</v>
      </c>
      <c r="D137" s="53" t="s">
        <v>151</v>
      </c>
      <c r="E137" s="31" t="s">
        <v>375</v>
      </c>
      <c r="F137" s="30"/>
      <c r="G137" s="226" t="s">
        <v>53</v>
      </c>
      <c r="H137" s="55">
        <f>150000+250000</f>
        <v>400000</v>
      </c>
      <c r="I137" s="239">
        <f>150000+250000</f>
        <v>400000</v>
      </c>
    </row>
    <row r="138" spans="1:9" ht="15.75">
      <c r="A138" s="37" t="s">
        <v>268</v>
      </c>
      <c r="B138" s="89" t="s">
        <v>272</v>
      </c>
      <c r="C138" s="64" t="s">
        <v>157</v>
      </c>
      <c r="D138" s="38" t="s">
        <v>157</v>
      </c>
      <c r="E138" s="35" t="s">
        <v>42</v>
      </c>
      <c r="F138" s="34"/>
      <c r="G138" s="154" t="s">
        <v>44</v>
      </c>
      <c r="H138" s="66">
        <f aca="true" t="shared" si="7" ref="H138:I140">H139</f>
        <v>166700.6</v>
      </c>
      <c r="I138" s="66">
        <f t="shared" si="7"/>
        <v>0</v>
      </c>
    </row>
    <row r="139" spans="1:9" ht="15.75">
      <c r="A139" s="52" t="s">
        <v>100</v>
      </c>
      <c r="B139" s="92" t="s">
        <v>272</v>
      </c>
      <c r="C139" s="31" t="s">
        <v>157</v>
      </c>
      <c r="D139" s="53" t="s">
        <v>157</v>
      </c>
      <c r="E139" s="31" t="s">
        <v>101</v>
      </c>
      <c r="F139" s="82" t="s">
        <v>44</v>
      </c>
      <c r="G139" s="74" t="s">
        <v>44</v>
      </c>
      <c r="H139" s="32">
        <f t="shared" si="7"/>
        <v>166700.6</v>
      </c>
      <c r="I139" s="32">
        <f t="shared" si="7"/>
        <v>0</v>
      </c>
    </row>
    <row r="140" spans="1:9" ht="108" customHeight="1">
      <c r="A140" s="170" t="s">
        <v>386</v>
      </c>
      <c r="B140" s="92" t="s">
        <v>272</v>
      </c>
      <c r="C140" s="31" t="s">
        <v>157</v>
      </c>
      <c r="D140" s="53" t="s">
        <v>157</v>
      </c>
      <c r="E140" s="31" t="s">
        <v>302</v>
      </c>
      <c r="F140" s="82" t="s">
        <v>55</v>
      </c>
      <c r="G140" s="74" t="s">
        <v>44</v>
      </c>
      <c r="H140" s="32">
        <f t="shared" si="7"/>
        <v>166700.6</v>
      </c>
      <c r="I140" s="32">
        <f t="shared" si="7"/>
        <v>0</v>
      </c>
    </row>
    <row r="141" spans="1:9" ht="15.75">
      <c r="A141" s="204" t="s">
        <v>171</v>
      </c>
      <c r="B141" s="197" t="s">
        <v>272</v>
      </c>
      <c r="C141" s="193" t="s">
        <v>157</v>
      </c>
      <c r="D141" s="205" t="s">
        <v>157</v>
      </c>
      <c r="E141" s="193" t="s">
        <v>302</v>
      </c>
      <c r="F141" s="206"/>
      <c r="G141" s="207" t="s">
        <v>53</v>
      </c>
      <c r="H141" s="71">
        <f>150000+12974.6+3726</f>
        <v>166700.6</v>
      </c>
      <c r="I141" s="71"/>
    </row>
    <row r="142" spans="1:9" ht="15.75">
      <c r="A142" s="37" t="s">
        <v>5</v>
      </c>
      <c r="B142" s="93" t="s">
        <v>272</v>
      </c>
      <c r="C142" s="35" t="s">
        <v>158</v>
      </c>
      <c r="D142" s="34" t="s">
        <v>96</v>
      </c>
      <c r="E142" s="35" t="s">
        <v>42</v>
      </c>
      <c r="F142" s="34"/>
      <c r="G142" s="154" t="s">
        <v>44</v>
      </c>
      <c r="H142" s="36">
        <f>H143+H147+H153</f>
        <v>46861</v>
      </c>
      <c r="I142" s="36">
        <f>I143+I147+I153</f>
        <v>38990</v>
      </c>
    </row>
    <row r="143" spans="1:9" ht="15.75">
      <c r="A143" s="166" t="s">
        <v>41</v>
      </c>
      <c r="B143" s="89" t="s">
        <v>272</v>
      </c>
      <c r="C143" s="64" t="s">
        <v>158</v>
      </c>
      <c r="D143" s="38" t="s">
        <v>151</v>
      </c>
      <c r="E143" s="35" t="s">
        <v>42</v>
      </c>
      <c r="F143" s="34"/>
      <c r="G143" s="154" t="s">
        <v>44</v>
      </c>
      <c r="H143" s="66">
        <f aca="true" t="shared" si="8" ref="H143:I145">H144</f>
        <v>1390</v>
      </c>
      <c r="I143" s="66">
        <f t="shared" si="8"/>
        <v>0</v>
      </c>
    </row>
    <row r="144" spans="1:9" ht="15.75">
      <c r="A144" s="142" t="s">
        <v>186</v>
      </c>
      <c r="B144" s="92" t="s">
        <v>272</v>
      </c>
      <c r="C144" s="54" t="s">
        <v>158</v>
      </c>
      <c r="D144" s="30" t="s">
        <v>151</v>
      </c>
      <c r="E144" s="31" t="s">
        <v>187</v>
      </c>
      <c r="F144" s="30"/>
      <c r="G144" s="74" t="s">
        <v>44</v>
      </c>
      <c r="H144" s="32">
        <f t="shared" si="8"/>
        <v>1390</v>
      </c>
      <c r="I144" s="32">
        <f t="shared" si="8"/>
        <v>0</v>
      </c>
    </row>
    <row r="145" spans="1:9" ht="29.25">
      <c r="A145" s="142" t="s">
        <v>89</v>
      </c>
      <c r="B145" s="98" t="s">
        <v>272</v>
      </c>
      <c r="C145" s="54" t="s">
        <v>158</v>
      </c>
      <c r="D145" s="39" t="s">
        <v>151</v>
      </c>
      <c r="E145" s="40" t="s">
        <v>188</v>
      </c>
      <c r="F145" s="39"/>
      <c r="G145" s="74" t="s">
        <v>44</v>
      </c>
      <c r="H145" s="41">
        <f t="shared" si="8"/>
        <v>1390</v>
      </c>
      <c r="I145" s="41">
        <f t="shared" si="8"/>
        <v>0</v>
      </c>
    </row>
    <row r="146" spans="1:9" ht="15.75">
      <c r="A146" s="142" t="s">
        <v>134</v>
      </c>
      <c r="B146" s="98" t="s">
        <v>272</v>
      </c>
      <c r="C146" s="54" t="s">
        <v>158</v>
      </c>
      <c r="D146" s="39" t="s">
        <v>151</v>
      </c>
      <c r="E146" s="40" t="s">
        <v>188</v>
      </c>
      <c r="F146" s="39"/>
      <c r="G146" s="96" t="s">
        <v>46</v>
      </c>
      <c r="H146" s="41">
        <v>1390</v>
      </c>
      <c r="I146" s="145"/>
    </row>
    <row r="147" spans="1:9" ht="15.75">
      <c r="A147" s="37" t="s">
        <v>76</v>
      </c>
      <c r="B147" s="93" t="s">
        <v>272</v>
      </c>
      <c r="C147" s="64" t="s">
        <v>158</v>
      </c>
      <c r="D147" s="34" t="s">
        <v>156</v>
      </c>
      <c r="E147" s="35" t="s">
        <v>42</v>
      </c>
      <c r="F147" s="34"/>
      <c r="G147" s="94" t="s">
        <v>44</v>
      </c>
      <c r="H147" s="36">
        <f>H148</f>
        <v>43121</v>
      </c>
      <c r="I147" s="36">
        <f>I148</f>
        <v>38990</v>
      </c>
    </row>
    <row r="148" spans="1:9" ht="15.75">
      <c r="A148" s="52" t="s">
        <v>189</v>
      </c>
      <c r="B148" s="92" t="s">
        <v>272</v>
      </c>
      <c r="C148" s="54" t="s">
        <v>158</v>
      </c>
      <c r="D148" s="30" t="s">
        <v>156</v>
      </c>
      <c r="E148" s="31" t="s">
        <v>70</v>
      </c>
      <c r="F148" s="30"/>
      <c r="G148" s="74" t="s">
        <v>44</v>
      </c>
      <c r="H148" s="32">
        <f>H149+H151</f>
        <v>43121</v>
      </c>
      <c r="I148" s="32">
        <f>I149+I151</f>
        <v>38990</v>
      </c>
    </row>
    <row r="149" spans="1:9" ht="15.75">
      <c r="A149" s="52" t="s">
        <v>190</v>
      </c>
      <c r="B149" s="92" t="s">
        <v>272</v>
      </c>
      <c r="C149" s="54" t="s">
        <v>158</v>
      </c>
      <c r="D149" s="30" t="s">
        <v>156</v>
      </c>
      <c r="E149" s="31" t="s">
        <v>248</v>
      </c>
      <c r="F149" s="30" t="s">
        <v>71</v>
      </c>
      <c r="G149" s="74" t="s">
        <v>44</v>
      </c>
      <c r="H149" s="32">
        <f>H150</f>
        <v>4131</v>
      </c>
      <c r="I149" s="32">
        <f>I150</f>
        <v>0</v>
      </c>
    </row>
    <row r="150" spans="1:9" ht="15.75">
      <c r="A150" s="142" t="s">
        <v>134</v>
      </c>
      <c r="B150" s="92" t="s">
        <v>272</v>
      </c>
      <c r="C150" s="54" t="s">
        <v>158</v>
      </c>
      <c r="D150" s="30" t="s">
        <v>156</v>
      </c>
      <c r="E150" s="31" t="s">
        <v>248</v>
      </c>
      <c r="F150" s="82"/>
      <c r="G150" s="83" t="s">
        <v>46</v>
      </c>
      <c r="H150" s="32">
        <f>1750+581+50+1750</f>
        <v>4131</v>
      </c>
      <c r="I150" s="32"/>
    </row>
    <row r="151" spans="1:9" ht="29.25">
      <c r="A151" s="142" t="s">
        <v>113</v>
      </c>
      <c r="B151" s="92" t="s">
        <v>272</v>
      </c>
      <c r="C151" s="54" t="s">
        <v>158</v>
      </c>
      <c r="D151" s="30" t="s">
        <v>156</v>
      </c>
      <c r="E151" s="31" t="s">
        <v>191</v>
      </c>
      <c r="F151" s="82"/>
      <c r="G151" s="74" t="s">
        <v>44</v>
      </c>
      <c r="H151" s="32">
        <f>H152</f>
        <v>38990</v>
      </c>
      <c r="I151" s="32">
        <f>I152</f>
        <v>38990</v>
      </c>
    </row>
    <row r="152" spans="1:9" ht="15.75">
      <c r="A152" s="142" t="s">
        <v>134</v>
      </c>
      <c r="B152" s="92" t="s">
        <v>272</v>
      </c>
      <c r="C152" s="54" t="s">
        <v>158</v>
      </c>
      <c r="D152" s="30" t="s">
        <v>156</v>
      </c>
      <c r="E152" s="31" t="s">
        <v>191</v>
      </c>
      <c r="F152" s="82"/>
      <c r="G152" s="83" t="s">
        <v>46</v>
      </c>
      <c r="H152" s="32">
        <f>51921-12500-431</f>
        <v>38990</v>
      </c>
      <c r="I152" s="71">
        <f>51921-12500-431</f>
        <v>38990</v>
      </c>
    </row>
    <row r="153" spans="1:9" ht="15.75">
      <c r="A153" s="37" t="s">
        <v>99</v>
      </c>
      <c r="B153" s="93" t="s">
        <v>272</v>
      </c>
      <c r="C153" s="64" t="s">
        <v>158</v>
      </c>
      <c r="D153" s="35" t="s">
        <v>170</v>
      </c>
      <c r="E153" s="35" t="s">
        <v>42</v>
      </c>
      <c r="F153" s="34"/>
      <c r="G153" s="154" t="s">
        <v>44</v>
      </c>
      <c r="H153" s="36">
        <f>H156+H154</f>
        <v>2350</v>
      </c>
      <c r="I153" s="36">
        <f>I156</f>
        <v>0</v>
      </c>
    </row>
    <row r="154" spans="1:9" ht="15.75">
      <c r="A154" s="125" t="s">
        <v>353</v>
      </c>
      <c r="B154" s="31" t="s">
        <v>272</v>
      </c>
      <c r="C154" s="31" t="s">
        <v>158</v>
      </c>
      <c r="D154" s="54" t="s">
        <v>170</v>
      </c>
      <c r="E154" s="30" t="s">
        <v>352</v>
      </c>
      <c r="F154" s="31" t="s">
        <v>44</v>
      </c>
      <c r="G154" s="188" t="s">
        <v>44</v>
      </c>
      <c r="H154" s="32">
        <f>H155</f>
        <v>100</v>
      </c>
      <c r="I154" s="36"/>
    </row>
    <row r="155" spans="1:9" ht="15.75">
      <c r="A155" s="126" t="s">
        <v>115</v>
      </c>
      <c r="B155" s="31" t="s">
        <v>272</v>
      </c>
      <c r="C155" s="31" t="s">
        <v>158</v>
      </c>
      <c r="D155" s="31" t="s">
        <v>170</v>
      </c>
      <c r="E155" s="30" t="s">
        <v>352</v>
      </c>
      <c r="F155" s="31" t="s">
        <v>203</v>
      </c>
      <c r="G155" s="31" t="s">
        <v>203</v>
      </c>
      <c r="H155" s="32">
        <v>100</v>
      </c>
      <c r="I155" s="36"/>
    </row>
    <row r="156" spans="1:9" ht="15.75">
      <c r="A156" s="52" t="s">
        <v>100</v>
      </c>
      <c r="B156" s="92" t="s">
        <v>272</v>
      </c>
      <c r="C156" s="54" t="s">
        <v>158</v>
      </c>
      <c r="D156" s="31" t="s">
        <v>170</v>
      </c>
      <c r="E156" s="187" t="s">
        <v>101</v>
      </c>
      <c r="F156" s="82" t="s">
        <v>44</v>
      </c>
      <c r="G156" s="63" t="s">
        <v>44</v>
      </c>
      <c r="H156" s="32">
        <f>H157</f>
        <v>2250</v>
      </c>
      <c r="I156" s="32">
        <f>I157</f>
        <v>0</v>
      </c>
    </row>
    <row r="157" spans="1:9" ht="29.25">
      <c r="A157" s="168" t="s">
        <v>355</v>
      </c>
      <c r="B157" s="92" t="s">
        <v>272</v>
      </c>
      <c r="C157" s="54" t="s">
        <v>158</v>
      </c>
      <c r="D157" s="53" t="s">
        <v>170</v>
      </c>
      <c r="E157" s="31" t="s">
        <v>192</v>
      </c>
      <c r="F157" s="82" t="s">
        <v>44</v>
      </c>
      <c r="G157" s="103" t="s">
        <v>44</v>
      </c>
      <c r="H157" s="32">
        <f>H158</f>
        <v>2250</v>
      </c>
      <c r="I157" s="32">
        <f>I158</f>
        <v>0</v>
      </c>
    </row>
    <row r="158" spans="1:9" ht="15.75">
      <c r="A158" s="144" t="s">
        <v>115</v>
      </c>
      <c r="B158" s="72" t="s">
        <v>272</v>
      </c>
      <c r="C158" s="54" t="s">
        <v>158</v>
      </c>
      <c r="D158" s="31" t="s">
        <v>170</v>
      </c>
      <c r="E158" s="68" t="s">
        <v>192</v>
      </c>
      <c r="F158" s="47" t="s">
        <v>102</v>
      </c>
      <c r="G158" s="83" t="s">
        <v>203</v>
      </c>
      <c r="H158" s="73">
        <f>2130+120</f>
        <v>2250</v>
      </c>
      <c r="I158" s="73"/>
    </row>
    <row r="159" spans="1:9" ht="15.75">
      <c r="A159" s="26" t="s">
        <v>184</v>
      </c>
      <c r="B159" s="93" t="s">
        <v>272</v>
      </c>
      <c r="C159" s="35" t="s">
        <v>266</v>
      </c>
      <c r="D159" s="38" t="s">
        <v>96</v>
      </c>
      <c r="E159" s="35" t="s">
        <v>42</v>
      </c>
      <c r="F159" s="34"/>
      <c r="G159" s="154" t="s">
        <v>44</v>
      </c>
      <c r="H159" s="36">
        <f>H160</f>
        <v>87000</v>
      </c>
      <c r="I159" s="36"/>
    </row>
    <row r="160" spans="1:9" ht="15.75">
      <c r="A160" s="26" t="s">
        <v>271</v>
      </c>
      <c r="B160" s="93" t="s">
        <v>272</v>
      </c>
      <c r="C160" s="35" t="s">
        <v>266</v>
      </c>
      <c r="D160" s="38" t="s">
        <v>151</v>
      </c>
      <c r="E160" s="35" t="s">
        <v>42</v>
      </c>
      <c r="F160" s="34"/>
      <c r="G160" s="154" t="s">
        <v>44</v>
      </c>
      <c r="H160" s="36">
        <f>H162</f>
        <v>87000</v>
      </c>
      <c r="I160" s="36"/>
    </row>
    <row r="161" spans="1:9" ht="15.75">
      <c r="A161" s="52" t="s">
        <v>100</v>
      </c>
      <c r="B161" s="92" t="s">
        <v>272</v>
      </c>
      <c r="C161" s="31" t="s">
        <v>266</v>
      </c>
      <c r="D161" s="53" t="s">
        <v>151</v>
      </c>
      <c r="E161" s="31" t="s">
        <v>101</v>
      </c>
      <c r="F161" s="82"/>
      <c r="G161" s="74" t="s">
        <v>44</v>
      </c>
      <c r="H161" s="32">
        <f>H162</f>
        <v>87000</v>
      </c>
      <c r="I161" s="32"/>
    </row>
    <row r="162" spans="1:9" ht="123" customHeight="1">
      <c r="A162" s="143" t="s">
        <v>357</v>
      </c>
      <c r="B162" s="92" t="s">
        <v>272</v>
      </c>
      <c r="C162" s="31" t="s">
        <v>266</v>
      </c>
      <c r="D162" s="30" t="s">
        <v>151</v>
      </c>
      <c r="E162" s="31" t="s">
        <v>194</v>
      </c>
      <c r="F162" s="82"/>
      <c r="G162" s="74" t="s">
        <v>44</v>
      </c>
      <c r="H162" s="32">
        <f>H163</f>
        <v>87000</v>
      </c>
      <c r="I162" s="32"/>
    </row>
    <row r="163" spans="1:9" ht="16.5" thickBot="1">
      <c r="A163" s="142" t="s">
        <v>171</v>
      </c>
      <c r="B163" s="92" t="s">
        <v>272</v>
      </c>
      <c r="C163" s="31" t="s">
        <v>266</v>
      </c>
      <c r="D163" s="30" t="s">
        <v>151</v>
      </c>
      <c r="E163" s="31" t="s">
        <v>194</v>
      </c>
      <c r="F163" s="82"/>
      <c r="G163" s="96" t="s">
        <v>53</v>
      </c>
      <c r="H163" s="32">
        <f>75000+12000</f>
        <v>87000</v>
      </c>
      <c r="I163" s="32"/>
    </row>
    <row r="164" spans="1:9" ht="36.75" thickBot="1">
      <c r="A164" s="171" t="s">
        <v>319</v>
      </c>
      <c r="B164" s="87" t="s">
        <v>273</v>
      </c>
      <c r="C164" s="24" t="s">
        <v>96</v>
      </c>
      <c r="D164" s="22" t="s">
        <v>96</v>
      </c>
      <c r="E164" s="24" t="s">
        <v>42</v>
      </c>
      <c r="F164" s="22"/>
      <c r="G164" s="160" t="s">
        <v>44</v>
      </c>
      <c r="H164" s="25">
        <f>H185+H242+H180+H170+H165</f>
        <v>827142.9</v>
      </c>
      <c r="I164" s="25">
        <f>I185+I242+I180+I170+I165</f>
        <v>329764.4</v>
      </c>
    </row>
    <row r="165" spans="1:9" ht="15.75">
      <c r="A165" s="46" t="s">
        <v>15</v>
      </c>
      <c r="B165" s="106" t="s">
        <v>442</v>
      </c>
      <c r="C165" s="28" t="s">
        <v>151</v>
      </c>
      <c r="D165" s="27" t="s">
        <v>96</v>
      </c>
      <c r="E165" s="28" t="s">
        <v>42</v>
      </c>
      <c r="F165" s="27"/>
      <c r="G165" s="258" t="s">
        <v>44</v>
      </c>
      <c r="H165" s="29">
        <f>H166</f>
        <v>1417.8</v>
      </c>
      <c r="I165" s="29"/>
    </row>
    <row r="166" spans="1:9" ht="15.75">
      <c r="A166" s="166" t="s">
        <v>62</v>
      </c>
      <c r="B166" s="89" t="s">
        <v>273</v>
      </c>
      <c r="C166" s="64" t="s">
        <v>151</v>
      </c>
      <c r="D166" s="38" t="s">
        <v>265</v>
      </c>
      <c r="E166" s="64" t="s">
        <v>42</v>
      </c>
      <c r="F166" s="38"/>
      <c r="G166" s="159" t="s">
        <v>44</v>
      </c>
      <c r="H166" s="91">
        <f>H167</f>
        <v>1417.8</v>
      </c>
      <c r="I166" s="91"/>
    </row>
    <row r="167" spans="1:9" ht="15.75">
      <c r="A167" s="52" t="s">
        <v>100</v>
      </c>
      <c r="B167" s="98" t="s">
        <v>273</v>
      </c>
      <c r="C167" s="40" t="s">
        <v>151</v>
      </c>
      <c r="D167" s="39" t="s">
        <v>265</v>
      </c>
      <c r="E167" s="40" t="s">
        <v>101</v>
      </c>
      <c r="F167" s="99"/>
      <c r="G167" s="74" t="s">
        <v>44</v>
      </c>
      <c r="H167" s="32">
        <f>H168</f>
        <v>1417.8</v>
      </c>
      <c r="I167" s="52"/>
    </row>
    <row r="168" spans="1:9" ht="43.5">
      <c r="A168" s="142" t="s">
        <v>387</v>
      </c>
      <c r="B168" s="98" t="s">
        <v>273</v>
      </c>
      <c r="C168" s="31" t="s">
        <v>151</v>
      </c>
      <c r="D168" s="30" t="s">
        <v>265</v>
      </c>
      <c r="E168" s="40" t="s">
        <v>282</v>
      </c>
      <c r="F168" s="99"/>
      <c r="G168" s="74" t="s">
        <v>44</v>
      </c>
      <c r="H168" s="32">
        <f>H169</f>
        <v>1417.8</v>
      </c>
      <c r="I168" s="52"/>
    </row>
    <row r="169" spans="1:9" ht="15.75">
      <c r="A169" s="52" t="s">
        <v>115</v>
      </c>
      <c r="B169" s="31" t="s">
        <v>273</v>
      </c>
      <c r="C169" s="31" t="s">
        <v>151</v>
      </c>
      <c r="D169" s="30" t="s">
        <v>265</v>
      </c>
      <c r="E169" s="40" t="s">
        <v>282</v>
      </c>
      <c r="F169" s="99"/>
      <c r="G169" s="96" t="s">
        <v>203</v>
      </c>
      <c r="H169" s="32">
        <v>1417.8</v>
      </c>
      <c r="I169" s="52"/>
    </row>
    <row r="170" spans="1:9" ht="30">
      <c r="A170" s="33" t="s">
        <v>90</v>
      </c>
      <c r="B170" s="89" t="s">
        <v>273</v>
      </c>
      <c r="C170" s="64" t="s">
        <v>156</v>
      </c>
      <c r="D170" s="38" t="s">
        <v>96</v>
      </c>
      <c r="E170" s="69" t="s">
        <v>42</v>
      </c>
      <c r="F170" s="70"/>
      <c r="G170" s="97" t="s">
        <v>44</v>
      </c>
      <c r="H170" s="36">
        <f>H171</f>
        <v>950</v>
      </c>
      <c r="I170" s="37"/>
    </row>
    <row r="171" spans="1:9" ht="30">
      <c r="A171" s="26" t="s">
        <v>84</v>
      </c>
      <c r="B171" s="89" t="s">
        <v>273</v>
      </c>
      <c r="C171" s="64" t="s">
        <v>156</v>
      </c>
      <c r="D171" s="38" t="s">
        <v>155</v>
      </c>
      <c r="E171" s="35" t="s">
        <v>42</v>
      </c>
      <c r="F171" s="34"/>
      <c r="G171" s="154" t="s">
        <v>44</v>
      </c>
      <c r="H171" s="36">
        <f>H175+H172</f>
        <v>950</v>
      </c>
      <c r="I171" s="37"/>
    </row>
    <row r="172" spans="1:9" ht="43.5">
      <c r="A172" s="142" t="s">
        <v>85</v>
      </c>
      <c r="B172" s="72" t="s">
        <v>273</v>
      </c>
      <c r="C172" s="68" t="s">
        <v>156</v>
      </c>
      <c r="D172" s="47" t="s">
        <v>155</v>
      </c>
      <c r="E172" s="40" t="s">
        <v>66</v>
      </c>
      <c r="F172" s="39"/>
      <c r="G172" s="235" t="s">
        <v>44</v>
      </c>
      <c r="H172" s="41">
        <f>H173</f>
        <v>754</v>
      </c>
      <c r="I172" s="145"/>
    </row>
    <row r="173" spans="1:9" ht="15.75">
      <c r="A173" s="52" t="s">
        <v>25</v>
      </c>
      <c r="B173" s="92" t="s">
        <v>273</v>
      </c>
      <c r="C173" s="31" t="s">
        <v>156</v>
      </c>
      <c r="D173" s="30" t="s">
        <v>155</v>
      </c>
      <c r="E173" s="31" t="s">
        <v>140</v>
      </c>
      <c r="F173" s="30"/>
      <c r="G173" s="61" t="s">
        <v>44</v>
      </c>
      <c r="H173" s="32">
        <f>H174</f>
        <v>754</v>
      </c>
      <c r="I173" s="52"/>
    </row>
    <row r="174" spans="1:9" ht="15.75">
      <c r="A174" s="189" t="s">
        <v>200</v>
      </c>
      <c r="B174" s="72" t="s">
        <v>273</v>
      </c>
      <c r="C174" s="68" t="s">
        <v>156</v>
      </c>
      <c r="D174" s="47" t="s">
        <v>155</v>
      </c>
      <c r="E174" s="68" t="s">
        <v>140</v>
      </c>
      <c r="F174" s="47"/>
      <c r="G174" s="236" t="s">
        <v>201</v>
      </c>
      <c r="H174" s="73">
        <v>754</v>
      </c>
      <c r="I174" s="161"/>
    </row>
    <row r="175" spans="1:9" ht="15.75">
      <c r="A175" s="52" t="s">
        <v>100</v>
      </c>
      <c r="B175" s="98" t="s">
        <v>273</v>
      </c>
      <c r="C175" s="40" t="s">
        <v>156</v>
      </c>
      <c r="D175" s="39" t="s">
        <v>155</v>
      </c>
      <c r="E175" s="40" t="s">
        <v>101</v>
      </c>
      <c r="F175" s="99"/>
      <c r="G175" s="74" t="s">
        <v>44</v>
      </c>
      <c r="H175" s="32">
        <f>H178+H176</f>
        <v>196</v>
      </c>
      <c r="I175" s="52"/>
    </row>
    <row r="176" spans="1:9" ht="43.5">
      <c r="A176" s="142" t="s">
        <v>286</v>
      </c>
      <c r="B176" s="92" t="s">
        <v>273</v>
      </c>
      <c r="C176" s="31" t="s">
        <v>156</v>
      </c>
      <c r="D176" s="30" t="s">
        <v>155</v>
      </c>
      <c r="E176" s="31" t="s">
        <v>197</v>
      </c>
      <c r="F176" s="30"/>
      <c r="G176" s="74" t="s">
        <v>44</v>
      </c>
      <c r="H176" s="32">
        <f>H177</f>
        <v>50</v>
      </c>
      <c r="I176" s="52"/>
    </row>
    <row r="177" spans="1:9" ht="15.75">
      <c r="A177" s="144" t="s">
        <v>115</v>
      </c>
      <c r="B177" s="92" t="s">
        <v>273</v>
      </c>
      <c r="C177" s="31" t="s">
        <v>156</v>
      </c>
      <c r="D177" s="30" t="s">
        <v>155</v>
      </c>
      <c r="E177" s="31" t="s">
        <v>197</v>
      </c>
      <c r="F177" s="30"/>
      <c r="G177" s="74" t="s">
        <v>203</v>
      </c>
      <c r="H177" s="32">
        <v>50</v>
      </c>
      <c r="I177" s="52"/>
    </row>
    <row r="178" spans="1:9" ht="43.5">
      <c r="A178" s="142" t="s">
        <v>287</v>
      </c>
      <c r="B178" s="92" t="s">
        <v>273</v>
      </c>
      <c r="C178" s="31" t="s">
        <v>156</v>
      </c>
      <c r="D178" s="30" t="s">
        <v>155</v>
      </c>
      <c r="E178" s="31" t="s">
        <v>288</v>
      </c>
      <c r="F178" s="30"/>
      <c r="G178" s="74" t="s">
        <v>44</v>
      </c>
      <c r="H178" s="32">
        <f>H179</f>
        <v>146</v>
      </c>
      <c r="I178" s="52"/>
    </row>
    <row r="179" spans="1:9" ht="15.75">
      <c r="A179" s="144" t="s">
        <v>115</v>
      </c>
      <c r="B179" s="102" t="s">
        <v>273</v>
      </c>
      <c r="C179" s="54" t="s">
        <v>156</v>
      </c>
      <c r="D179" s="53" t="s">
        <v>155</v>
      </c>
      <c r="E179" s="54" t="s">
        <v>288</v>
      </c>
      <c r="F179" s="53"/>
      <c r="G179" s="103" t="s">
        <v>203</v>
      </c>
      <c r="H179" s="32">
        <v>146</v>
      </c>
      <c r="I179" s="52"/>
    </row>
    <row r="180" spans="1:9" ht="15.75">
      <c r="A180" s="37" t="s">
        <v>39</v>
      </c>
      <c r="B180" s="93" t="s">
        <v>273</v>
      </c>
      <c r="C180" s="35" t="s">
        <v>170</v>
      </c>
      <c r="D180" s="34" t="s">
        <v>96</v>
      </c>
      <c r="E180" s="35" t="s">
        <v>42</v>
      </c>
      <c r="F180" s="34"/>
      <c r="G180" s="154" t="s">
        <v>44</v>
      </c>
      <c r="H180" s="32">
        <f>H181</f>
        <v>100</v>
      </c>
      <c r="I180" s="52"/>
    </row>
    <row r="181" spans="1:9" ht="15.75">
      <c r="A181" s="166" t="s">
        <v>40</v>
      </c>
      <c r="B181" s="89" t="s">
        <v>273</v>
      </c>
      <c r="C181" s="64" t="s">
        <v>170</v>
      </c>
      <c r="D181" s="38" t="s">
        <v>165</v>
      </c>
      <c r="E181" s="35" t="s">
        <v>42</v>
      </c>
      <c r="F181" s="34"/>
      <c r="G181" s="154" t="s">
        <v>44</v>
      </c>
      <c r="H181" s="32">
        <f>H182</f>
        <v>100</v>
      </c>
      <c r="I181" s="52"/>
    </row>
    <row r="182" spans="1:9" ht="15.75">
      <c r="A182" s="52" t="s">
        <v>100</v>
      </c>
      <c r="B182" s="92" t="s">
        <v>273</v>
      </c>
      <c r="C182" s="31" t="s">
        <v>170</v>
      </c>
      <c r="D182" s="30" t="s">
        <v>165</v>
      </c>
      <c r="E182" s="31" t="s">
        <v>101</v>
      </c>
      <c r="F182" s="30"/>
      <c r="G182" s="74" t="s">
        <v>44</v>
      </c>
      <c r="H182" s="32">
        <f>H183</f>
        <v>100</v>
      </c>
      <c r="I182" s="52"/>
    </row>
    <row r="183" spans="1:9" ht="29.25">
      <c r="A183" s="142" t="s">
        <v>294</v>
      </c>
      <c r="B183" s="98" t="s">
        <v>273</v>
      </c>
      <c r="C183" s="40" t="s">
        <v>170</v>
      </c>
      <c r="D183" s="39" t="s">
        <v>165</v>
      </c>
      <c r="E183" s="40" t="s">
        <v>196</v>
      </c>
      <c r="F183" s="39"/>
      <c r="G183" s="74" t="s">
        <v>44</v>
      </c>
      <c r="H183" s="32">
        <f>H184</f>
        <v>100</v>
      </c>
      <c r="I183" s="52"/>
    </row>
    <row r="184" spans="1:9" ht="15.75">
      <c r="A184" s="52" t="s">
        <v>115</v>
      </c>
      <c r="B184" s="92" t="s">
        <v>273</v>
      </c>
      <c r="C184" s="31" t="s">
        <v>170</v>
      </c>
      <c r="D184" s="30" t="s">
        <v>165</v>
      </c>
      <c r="E184" s="31" t="s">
        <v>196</v>
      </c>
      <c r="F184" s="30"/>
      <c r="G184" s="96" t="s">
        <v>203</v>
      </c>
      <c r="H184" s="32">
        <v>100</v>
      </c>
      <c r="I184" s="52"/>
    </row>
    <row r="185" spans="1:9" ht="15.75">
      <c r="A185" s="37" t="s">
        <v>6</v>
      </c>
      <c r="B185" s="93" t="s">
        <v>273</v>
      </c>
      <c r="C185" s="35" t="s">
        <v>159</v>
      </c>
      <c r="D185" s="34" t="s">
        <v>96</v>
      </c>
      <c r="E185" s="35" t="s">
        <v>42</v>
      </c>
      <c r="F185" s="34"/>
      <c r="G185" s="154" t="s">
        <v>44</v>
      </c>
      <c r="H185" s="36">
        <f>H199+H224+H229+H186</f>
        <v>816003.4</v>
      </c>
      <c r="I185" s="36">
        <f>I199+I224+I229+I186</f>
        <v>321403.4</v>
      </c>
    </row>
    <row r="186" spans="1:9" ht="15.75">
      <c r="A186" s="166" t="s">
        <v>7</v>
      </c>
      <c r="B186" s="89" t="s">
        <v>273</v>
      </c>
      <c r="C186" s="64" t="s">
        <v>159</v>
      </c>
      <c r="D186" s="38" t="s">
        <v>151</v>
      </c>
      <c r="E186" s="35" t="s">
        <v>42</v>
      </c>
      <c r="F186" s="34"/>
      <c r="G186" s="154" t="s">
        <v>44</v>
      </c>
      <c r="H186" s="66">
        <f>H187+H194</f>
        <v>312225.9</v>
      </c>
      <c r="I186" s="66">
        <f>I187+I194</f>
        <v>16843</v>
      </c>
    </row>
    <row r="187" spans="1:9" ht="15.75">
      <c r="A187" s="52" t="s">
        <v>8</v>
      </c>
      <c r="B187" s="92" t="s">
        <v>273</v>
      </c>
      <c r="C187" s="31" t="s">
        <v>159</v>
      </c>
      <c r="D187" s="30" t="s">
        <v>151</v>
      </c>
      <c r="E187" s="31" t="s">
        <v>24</v>
      </c>
      <c r="F187" s="30"/>
      <c r="G187" s="74" t="s">
        <v>44</v>
      </c>
      <c r="H187" s="32">
        <f>H188</f>
        <v>300225.9</v>
      </c>
      <c r="I187" s="32">
        <f>I188</f>
        <v>4843</v>
      </c>
    </row>
    <row r="188" spans="1:10" s="3" customFormat="1" ht="15.75">
      <c r="A188" s="145" t="s">
        <v>25</v>
      </c>
      <c r="B188" s="92" t="s">
        <v>273</v>
      </c>
      <c r="C188" s="31" t="s">
        <v>159</v>
      </c>
      <c r="D188" s="30" t="s">
        <v>151</v>
      </c>
      <c r="E188" s="31" t="s">
        <v>172</v>
      </c>
      <c r="F188" s="30"/>
      <c r="G188" s="74" t="s">
        <v>44</v>
      </c>
      <c r="H188" s="32">
        <f>H189+H190+H191</f>
        <v>300225.9</v>
      </c>
      <c r="I188" s="32">
        <f>I189+I190+I191</f>
        <v>4843</v>
      </c>
      <c r="J188"/>
    </row>
    <row r="189" spans="1:12" ht="15.75">
      <c r="A189" s="189" t="s">
        <v>138</v>
      </c>
      <c r="B189" s="190" t="s">
        <v>273</v>
      </c>
      <c r="C189" s="191" t="s">
        <v>159</v>
      </c>
      <c r="D189" s="192" t="s">
        <v>151</v>
      </c>
      <c r="E189" s="193" t="s">
        <v>172</v>
      </c>
      <c r="F189" s="194"/>
      <c r="G189" s="195" t="s">
        <v>68</v>
      </c>
      <c r="H189" s="71">
        <f>313951.2+1036-21886.8-1443.6-2467.5-8765-30+10528.1-37439.6-6214.2+840+4379.8-62503.5-13851.9-1122.4-1214.8+217.5-205.1-1050-1070</f>
        <v>171688.2</v>
      </c>
      <c r="I189" s="71">
        <f>840-580+217.5</f>
        <v>477.5</v>
      </c>
      <c r="L189" s="3"/>
    </row>
    <row r="190" spans="1:11" ht="15.75">
      <c r="A190" s="196" t="s">
        <v>200</v>
      </c>
      <c r="B190" s="190" t="s">
        <v>273</v>
      </c>
      <c r="C190" s="191" t="s">
        <v>159</v>
      </c>
      <c r="D190" s="192" t="s">
        <v>151</v>
      </c>
      <c r="E190" s="193" t="s">
        <v>172</v>
      </c>
      <c r="F190" s="194"/>
      <c r="G190" s="195" t="s">
        <v>201</v>
      </c>
      <c r="H190" s="71">
        <f>21886.8-540.2+37439.6+380+920.2+62503.5+1122.4+1214.8+509.5+205.1</f>
        <v>125641.7</v>
      </c>
      <c r="I190" s="71">
        <f>380+580+509.5</f>
        <v>1469.5</v>
      </c>
      <c r="K190" s="3"/>
    </row>
    <row r="191" spans="1:11" ht="43.5">
      <c r="A191" s="217" t="s">
        <v>416</v>
      </c>
      <c r="B191" s="190" t="s">
        <v>273</v>
      </c>
      <c r="C191" s="191" t="s">
        <v>159</v>
      </c>
      <c r="D191" s="192" t="s">
        <v>159</v>
      </c>
      <c r="E191" s="193" t="s">
        <v>415</v>
      </c>
      <c r="F191" s="194"/>
      <c r="G191" s="225" t="s">
        <v>44</v>
      </c>
      <c r="H191" s="71">
        <f>H192+H193</f>
        <v>2896</v>
      </c>
      <c r="I191" s="71">
        <f>I192+I193</f>
        <v>2896</v>
      </c>
      <c r="K191" s="3"/>
    </row>
    <row r="192" spans="1:11" ht="15.75">
      <c r="A192" s="189" t="s">
        <v>138</v>
      </c>
      <c r="B192" s="190" t="s">
        <v>273</v>
      </c>
      <c r="C192" s="191" t="s">
        <v>159</v>
      </c>
      <c r="D192" s="192" t="s">
        <v>159</v>
      </c>
      <c r="E192" s="193" t="s">
        <v>415</v>
      </c>
      <c r="F192" s="194"/>
      <c r="G192" s="225" t="s">
        <v>68</v>
      </c>
      <c r="H192" s="71">
        <v>840.2</v>
      </c>
      <c r="I192" s="71">
        <v>840.2</v>
      </c>
      <c r="K192" s="3"/>
    </row>
    <row r="193" spans="1:11" ht="15.75">
      <c r="A193" s="196" t="s">
        <v>200</v>
      </c>
      <c r="B193" s="190" t="s">
        <v>273</v>
      </c>
      <c r="C193" s="191" t="s">
        <v>159</v>
      </c>
      <c r="D193" s="192" t="s">
        <v>159</v>
      </c>
      <c r="E193" s="193" t="s">
        <v>415</v>
      </c>
      <c r="F193" s="194"/>
      <c r="G193" s="225" t="s">
        <v>201</v>
      </c>
      <c r="H193" s="71">
        <v>2055.8</v>
      </c>
      <c r="I193" s="71">
        <v>2055.8</v>
      </c>
      <c r="K193" s="3"/>
    </row>
    <row r="194" spans="1:11" ht="18" customHeight="1">
      <c r="A194" s="189" t="s">
        <v>363</v>
      </c>
      <c r="B194" s="190" t="s">
        <v>273</v>
      </c>
      <c r="C194" s="191" t="s">
        <v>159</v>
      </c>
      <c r="D194" s="192" t="s">
        <v>151</v>
      </c>
      <c r="E194" s="193" t="s">
        <v>362</v>
      </c>
      <c r="F194" s="194"/>
      <c r="G194" s="225" t="s">
        <v>44</v>
      </c>
      <c r="H194" s="71">
        <f>H195</f>
        <v>12000</v>
      </c>
      <c r="I194" s="71">
        <f>I195</f>
        <v>12000</v>
      </c>
      <c r="K194" s="3"/>
    </row>
    <row r="195" spans="1:11" ht="34.5" customHeight="1">
      <c r="A195" s="217" t="s">
        <v>372</v>
      </c>
      <c r="B195" s="190" t="s">
        <v>273</v>
      </c>
      <c r="C195" s="191" t="s">
        <v>159</v>
      </c>
      <c r="D195" s="192" t="s">
        <v>151</v>
      </c>
      <c r="E195" s="193" t="s">
        <v>371</v>
      </c>
      <c r="F195" s="194"/>
      <c r="G195" s="225" t="s">
        <v>44</v>
      </c>
      <c r="H195" s="71">
        <f>H196</f>
        <v>12000</v>
      </c>
      <c r="I195" s="71">
        <f>I196</f>
        <v>12000</v>
      </c>
      <c r="K195" s="3"/>
    </row>
    <row r="196" spans="1:11" ht="80.25" customHeight="1">
      <c r="A196" s="168" t="s">
        <v>441</v>
      </c>
      <c r="B196" s="190" t="s">
        <v>273</v>
      </c>
      <c r="C196" s="191" t="s">
        <v>159</v>
      </c>
      <c r="D196" s="192" t="s">
        <v>151</v>
      </c>
      <c r="E196" s="193" t="s">
        <v>402</v>
      </c>
      <c r="F196" s="194"/>
      <c r="G196" s="225" t="s">
        <v>44</v>
      </c>
      <c r="H196" s="71">
        <f>H197+H198</f>
        <v>12000</v>
      </c>
      <c r="I196" s="71">
        <f>I197+I198</f>
        <v>12000</v>
      </c>
      <c r="K196" s="3"/>
    </row>
    <row r="197" spans="1:11" ht="15.75">
      <c r="A197" s="196" t="s">
        <v>138</v>
      </c>
      <c r="B197" s="190" t="s">
        <v>273</v>
      </c>
      <c r="C197" s="191" t="s">
        <v>159</v>
      </c>
      <c r="D197" s="192" t="s">
        <v>151</v>
      </c>
      <c r="E197" s="193" t="s">
        <v>402</v>
      </c>
      <c r="F197" s="194"/>
      <c r="G197" s="225" t="s">
        <v>68</v>
      </c>
      <c r="H197" s="71">
        <v>1837</v>
      </c>
      <c r="I197" s="71">
        <v>1837</v>
      </c>
      <c r="K197" s="3"/>
    </row>
    <row r="198" spans="1:11" ht="15.75">
      <c r="A198" s="196" t="s">
        <v>200</v>
      </c>
      <c r="B198" s="190" t="s">
        <v>273</v>
      </c>
      <c r="C198" s="191" t="s">
        <v>159</v>
      </c>
      <c r="D198" s="192" t="s">
        <v>151</v>
      </c>
      <c r="E198" s="193" t="s">
        <v>402</v>
      </c>
      <c r="F198" s="194"/>
      <c r="G198" s="225" t="s">
        <v>201</v>
      </c>
      <c r="H198" s="71">
        <v>10163</v>
      </c>
      <c r="I198" s="71">
        <v>10163</v>
      </c>
      <c r="K198" s="3"/>
    </row>
    <row r="199" spans="1:9" ht="15.75">
      <c r="A199" s="37" t="s">
        <v>9</v>
      </c>
      <c r="B199" s="107" t="s">
        <v>273</v>
      </c>
      <c r="C199" s="69" t="s">
        <v>159</v>
      </c>
      <c r="D199" s="70" t="s">
        <v>152</v>
      </c>
      <c r="E199" s="35" t="s">
        <v>42</v>
      </c>
      <c r="F199" s="34"/>
      <c r="G199" s="154" t="s">
        <v>44</v>
      </c>
      <c r="H199" s="36">
        <f>H200+H204+H215+H209</f>
        <v>413878</v>
      </c>
      <c r="I199" s="36">
        <f>I200+I204+I215+I209</f>
        <v>291262.9</v>
      </c>
    </row>
    <row r="200" spans="1:9" ht="29.25">
      <c r="A200" s="172" t="s">
        <v>258</v>
      </c>
      <c r="B200" s="98" t="s">
        <v>273</v>
      </c>
      <c r="C200" s="40" t="s">
        <v>159</v>
      </c>
      <c r="D200" s="39" t="s">
        <v>152</v>
      </c>
      <c r="E200" s="40" t="s">
        <v>26</v>
      </c>
      <c r="F200" s="39"/>
      <c r="G200" s="74" t="s">
        <v>44</v>
      </c>
      <c r="H200" s="32">
        <f>H201</f>
        <v>326843.5</v>
      </c>
      <c r="I200" s="32">
        <f>I201</f>
        <v>256171.5</v>
      </c>
    </row>
    <row r="201" spans="1:10" s="3" customFormat="1" ht="15.75">
      <c r="A201" s="145" t="s">
        <v>25</v>
      </c>
      <c r="B201" s="98" t="s">
        <v>273</v>
      </c>
      <c r="C201" s="40" t="s">
        <v>159</v>
      </c>
      <c r="D201" s="39" t="s">
        <v>152</v>
      </c>
      <c r="E201" s="40" t="s">
        <v>173</v>
      </c>
      <c r="F201" s="39"/>
      <c r="G201" s="74" t="s">
        <v>44</v>
      </c>
      <c r="H201" s="32">
        <f>H202+H203</f>
        <v>326843.5</v>
      </c>
      <c r="I201" s="32">
        <f>I202+I203</f>
        <v>256171.5</v>
      </c>
      <c r="J201"/>
    </row>
    <row r="202" spans="1:14" ht="15.75">
      <c r="A202" s="196" t="s">
        <v>138</v>
      </c>
      <c r="B202" s="197" t="s">
        <v>273</v>
      </c>
      <c r="C202" s="193" t="s">
        <v>159</v>
      </c>
      <c r="D202" s="194" t="s">
        <v>152</v>
      </c>
      <c r="E202" s="193" t="s">
        <v>173</v>
      </c>
      <c r="F202" s="194"/>
      <c r="G202" s="198" t="s">
        <v>68</v>
      </c>
      <c r="H202" s="71">
        <f>316943.3+5132-23607-23441.7-40527.5+20179.7+1103+1530.2+5.8-7120+753+1720+10000-7685-14909.3-68283.4-4768-2315-60+3588.7+188-636.7+3950.9+171.9-188</f>
        <v>171724.9</v>
      </c>
      <c r="I202" s="71">
        <f>226391+8905-40527.5-292.5+1103+753+1720+10000-7685-68283.4-402.6-2315-60+3588.7+188-636.7+3950.9-188</f>
        <v>136208.9</v>
      </c>
      <c r="J202" s="265"/>
      <c r="K202" s="265"/>
      <c r="L202" s="265"/>
      <c r="M202" s="266"/>
      <c r="N202" s="3"/>
    </row>
    <row r="203" spans="1:13" ht="15.75">
      <c r="A203" s="196" t="s">
        <v>200</v>
      </c>
      <c r="B203" s="197" t="s">
        <v>273</v>
      </c>
      <c r="C203" s="193" t="s">
        <v>159</v>
      </c>
      <c r="D203" s="194" t="s">
        <v>152</v>
      </c>
      <c r="E203" s="193" t="s">
        <v>173</v>
      </c>
      <c r="F203" s="194"/>
      <c r="G203" s="198" t="s">
        <v>201</v>
      </c>
      <c r="H203" s="71">
        <f>45493.8+40527.5-21886.8-11127.7+7120+180+7685+14909.3+68283.4-7685+60+7863.3+636.7+1050+501.1+1508</f>
        <v>155118.6</v>
      </c>
      <c r="I203" s="71">
        <f>40527.5+180+7685+68283.4+402.6-7685+60+7863.3+636.7+501.1+1508</f>
        <v>119962.6</v>
      </c>
      <c r="J203" s="265"/>
      <c r="K203" s="265"/>
      <c r="L203" s="265"/>
      <c r="M203" s="265"/>
    </row>
    <row r="204" spans="1:13" ht="15.75">
      <c r="A204" s="161" t="s">
        <v>29</v>
      </c>
      <c r="B204" s="72" t="s">
        <v>273</v>
      </c>
      <c r="C204" s="54" t="s">
        <v>159</v>
      </c>
      <c r="D204" s="53" t="s">
        <v>152</v>
      </c>
      <c r="E204" s="68" t="s">
        <v>30</v>
      </c>
      <c r="F204" s="47"/>
      <c r="G204" s="74" t="s">
        <v>44</v>
      </c>
      <c r="H204" s="55">
        <f>H205</f>
        <v>52727.5</v>
      </c>
      <c r="I204" s="55">
        <f>I205</f>
        <v>784.4</v>
      </c>
      <c r="J204" s="265"/>
      <c r="K204" s="265"/>
      <c r="L204" s="265"/>
      <c r="M204" s="265"/>
    </row>
    <row r="205" spans="1:9" ht="15.75">
      <c r="A205" s="145" t="s">
        <v>25</v>
      </c>
      <c r="B205" s="98" t="s">
        <v>273</v>
      </c>
      <c r="C205" s="31" t="s">
        <v>159</v>
      </c>
      <c r="D205" s="30" t="s">
        <v>152</v>
      </c>
      <c r="E205" s="40" t="s">
        <v>174</v>
      </c>
      <c r="F205" s="47"/>
      <c r="G205" s="74" t="s">
        <v>44</v>
      </c>
      <c r="H205" s="32">
        <f>H206+H207</f>
        <v>52727.5</v>
      </c>
      <c r="I205" s="32">
        <f>I206+I207</f>
        <v>784.4</v>
      </c>
    </row>
    <row r="206" spans="1:9" ht="15.75">
      <c r="A206" s="52" t="s">
        <v>138</v>
      </c>
      <c r="B206" s="98" t="s">
        <v>273</v>
      </c>
      <c r="C206" s="31" t="s">
        <v>159</v>
      </c>
      <c r="D206" s="30" t="s">
        <v>152</v>
      </c>
      <c r="E206" s="40" t="s">
        <v>174</v>
      </c>
      <c r="F206" s="47"/>
      <c r="G206" s="74" t="s">
        <v>68</v>
      </c>
      <c r="H206" s="32">
        <f>51538.9-9.3+413.5+100</f>
        <v>52043.1</v>
      </c>
      <c r="I206" s="32">
        <f>100</f>
        <v>100</v>
      </c>
    </row>
    <row r="207" spans="1:9" ht="43.5">
      <c r="A207" s="217" t="s">
        <v>417</v>
      </c>
      <c r="B207" s="98" t="s">
        <v>273</v>
      </c>
      <c r="C207" s="31" t="s">
        <v>159</v>
      </c>
      <c r="D207" s="30" t="s">
        <v>152</v>
      </c>
      <c r="E207" s="40" t="s">
        <v>418</v>
      </c>
      <c r="F207" s="47"/>
      <c r="G207" s="74" t="s">
        <v>44</v>
      </c>
      <c r="H207" s="32">
        <f>H208</f>
        <v>684.4</v>
      </c>
      <c r="I207" s="32">
        <f>I208</f>
        <v>684.4</v>
      </c>
    </row>
    <row r="208" spans="1:9" ht="15.75">
      <c r="A208" s="189" t="s">
        <v>138</v>
      </c>
      <c r="B208" s="98" t="s">
        <v>273</v>
      </c>
      <c r="C208" s="31" t="s">
        <v>159</v>
      </c>
      <c r="D208" s="30" t="s">
        <v>152</v>
      </c>
      <c r="E208" s="40" t="s">
        <v>418</v>
      </c>
      <c r="F208" s="47"/>
      <c r="G208" s="74" t="s">
        <v>68</v>
      </c>
      <c r="H208" s="32">
        <v>684.4</v>
      </c>
      <c r="I208" s="32">
        <f>H208</f>
        <v>684.4</v>
      </c>
    </row>
    <row r="209" spans="1:9" ht="15.75">
      <c r="A209" s="189" t="s">
        <v>438</v>
      </c>
      <c r="B209" s="98" t="s">
        <v>273</v>
      </c>
      <c r="C209" s="31" t="s">
        <v>159</v>
      </c>
      <c r="D209" s="30" t="s">
        <v>152</v>
      </c>
      <c r="E209" s="40" t="s">
        <v>437</v>
      </c>
      <c r="F209" s="47"/>
      <c r="G209" s="74" t="s">
        <v>44</v>
      </c>
      <c r="H209" s="32">
        <f>H210+H213</f>
        <v>8247</v>
      </c>
      <c r="I209" s="32">
        <f>I210+I213</f>
        <v>8247</v>
      </c>
    </row>
    <row r="210" spans="1:9" ht="15.75">
      <c r="A210" s="145" t="s">
        <v>254</v>
      </c>
      <c r="B210" s="98" t="s">
        <v>273</v>
      </c>
      <c r="C210" s="31" t="s">
        <v>159</v>
      </c>
      <c r="D210" s="30" t="s">
        <v>152</v>
      </c>
      <c r="E210" s="40" t="s">
        <v>337</v>
      </c>
      <c r="F210" s="47"/>
      <c r="G210" s="74" t="s">
        <v>44</v>
      </c>
      <c r="H210" s="32">
        <f>H211+H212</f>
        <v>228</v>
      </c>
      <c r="I210" s="71">
        <f>I211+I212</f>
        <v>228</v>
      </c>
    </row>
    <row r="211" spans="1:9" ht="15.75">
      <c r="A211" s="189" t="s">
        <v>138</v>
      </c>
      <c r="B211" s="190" t="s">
        <v>273</v>
      </c>
      <c r="C211" s="193" t="s">
        <v>159</v>
      </c>
      <c r="D211" s="194" t="s">
        <v>152</v>
      </c>
      <c r="E211" s="191" t="s">
        <v>337</v>
      </c>
      <c r="F211" s="199" t="s">
        <v>68</v>
      </c>
      <c r="G211" s="198" t="s">
        <v>68</v>
      </c>
      <c r="H211" s="71">
        <f>228-35-80.5-8.9</f>
        <v>103.6</v>
      </c>
      <c r="I211" s="71">
        <f>228-35-80.5-8.9</f>
        <v>103.6</v>
      </c>
    </row>
    <row r="212" spans="1:9" ht="15.75">
      <c r="A212" s="196" t="s">
        <v>200</v>
      </c>
      <c r="B212" s="190" t="s">
        <v>273</v>
      </c>
      <c r="C212" s="193" t="s">
        <v>159</v>
      </c>
      <c r="D212" s="194" t="s">
        <v>152</v>
      </c>
      <c r="E212" s="191" t="s">
        <v>337</v>
      </c>
      <c r="F212" s="199" t="s">
        <v>68</v>
      </c>
      <c r="G212" s="198" t="s">
        <v>201</v>
      </c>
      <c r="H212" s="71">
        <f>35+80.5+8.9</f>
        <v>124.4</v>
      </c>
      <c r="I212" s="71">
        <f>35+80.5+8.9</f>
        <v>124.4</v>
      </c>
    </row>
    <row r="213" spans="1:9" ht="15.75">
      <c r="A213" s="189" t="s">
        <v>436</v>
      </c>
      <c r="B213" s="190" t="s">
        <v>273</v>
      </c>
      <c r="C213" s="193" t="s">
        <v>159</v>
      </c>
      <c r="D213" s="194" t="s">
        <v>152</v>
      </c>
      <c r="E213" s="191" t="s">
        <v>435</v>
      </c>
      <c r="F213" s="199" t="s">
        <v>68</v>
      </c>
      <c r="G213" s="198" t="s">
        <v>44</v>
      </c>
      <c r="H213" s="71">
        <f>H214</f>
        <v>8019</v>
      </c>
      <c r="I213" s="71">
        <f>I214</f>
        <v>8019</v>
      </c>
    </row>
    <row r="214" spans="1:9" ht="15.75">
      <c r="A214" s="201" t="s">
        <v>195</v>
      </c>
      <c r="B214" s="190" t="s">
        <v>273</v>
      </c>
      <c r="C214" s="193" t="s">
        <v>159</v>
      </c>
      <c r="D214" s="194" t="s">
        <v>152</v>
      </c>
      <c r="E214" s="191" t="s">
        <v>435</v>
      </c>
      <c r="F214" s="199" t="s">
        <v>68</v>
      </c>
      <c r="G214" s="198" t="s">
        <v>203</v>
      </c>
      <c r="H214" s="71">
        <v>8019</v>
      </c>
      <c r="I214" s="71">
        <v>8019</v>
      </c>
    </row>
    <row r="215" spans="1:9" ht="15.75">
      <c r="A215" s="145" t="s">
        <v>95</v>
      </c>
      <c r="B215" s="98" t="s">
        <v>273</v>
      </c>
      <c r="C215" s="31" t="s">
        <v>159</v>
      </c>
      <c r="D215" s="30" t="s">
        <v>152</v>
      </c>
      <c r="E215" s="40" t="s">
        <v>75</v>
      </c>
      <c r="F215" s="47"/>
      <c r="G215" s="74" t="s">
        <v>44</v>
      </c>
      <c r="H215" s="32">
        <f>H216+H219</f>
        <v>26060</v>
      </c>
      <c r="I215" s="32">
        <f>I216+I219</f>
        <v>26060</v>
      </c>
    </row>
    <row r="216" spans="1:9" ht="29.25">
      <c r="A216" s="172" t="s">
        <v>252</v>
      </c>
      <c r="B216" s="98" t="s">
        <v>273</v>
      </c>
      <c r="C216" s="31" t="s">
        <v>159</v>
      </c>
      <c r="D216" s="30" t="s">
        <v>152</v>
      </c>
      <c r="E216" s="40" t="s">
        <v>253</v>
      </c>
      <c r="F216" s="47"/>
      <c r="G216" s="74" t="s">
        <v>44</v>
      </c>
      <c r="H216" s="32">
        <f>H217+H218</f>
        <v>4446</v>
      </c>
      <c r="I216" s="71">
        <f>I217+I218</f>
        <v>4446</v>
      </c>
    </row>
    <row r="217" spans="1:9" ht="15.75">
      <c r="A217" s="196" t="s">
        <v>138</v>
      </c>
      <c r="B217" s="190" t="s">
        <v>273</v>
      </c>
      <c r="C217" s="193" t="s">
        <v>159</v>
      </c>
      <c r="D217" s="192" t="s">
        <v>152</v>
      </c>
      <c r="E217" s="191" t="s">
        <v>253</v>
      </c>
      <c r="F217" s="199"/>
      <c r="G217" s="198" t="s">
        <v>68</v>
      </c>
      <c r="H217" s="71">
        <f>4644-727-62.1-262-1603.1-7.7</f>
        <v>1982.1000000000001</v>
      </c>
      <c r="I217" s="71">
        <f>4644-727-62.1-262-1603.1-7.7</f>
        <v>1982.1000000000001</v>
      </c>
    </row>
    <row r="218" spans="1:9" ht="15.75">
      <c r="A218" s="196" t="s">
        <v>200</v>
      </c>
      <c r="B218" s="190" t="s">
        <v>273</v>
      </c>
      <c r="C218" s="193" t="s">
        <v>159</v>
      </c>
      <c r="D218" s="192" t="s">
        <v>152</v>
      </c>
      <c r="E218" s="191" t="s">
        <v>253</v>
      </c>
      <c r="F218" s="199"/>
      <c r="G218" s="198" t="s">
        <v>201</v>
      </c>
      <c r="H218" s="71">
        <f>727+62.1+1603.1+64+7.7</f>
        <v>2463.8999999999996</v>
      </c>
      <c r="I218" s="71">
        <f>727+62.1+1603.1+71.7</f>
        <v>2463.8999999999996</v>
      </c>
    </row>
    <row r="219" spans="1:9" ht="15.75">
      <c r="A219" s="189" t="s">
        <v>363</v>
      </c>
      <c r="B219" s="190" t="s">
        <v>273</v>
      </c>
      <c r="C219" s="193" t="s">
        <v>159</v>
      </c>
      <c r="D219" s="192" t="s">
        <v>152</v>
      </c>
      <c r="E219" s="191" t="s">
        <v>362</v>
      </c>
      <c r="F219" s="199"/>
      <c r="G219" s="216" t="s">
        <v>44</v>
      </c>
      <c r="H219" s="71">
        <f>H220</f>
        <v>21614</v>
      </c>
      <c r="I219" s="71">
        <f>I220</f>
        <v>21614</v>
      </c>
    </row>
    <row r="220" spans="1:9" ht="34.5" customHeight="1">
      <c r="A220" s="217" t="s">
        <v>372</v>
      </c>
      <c r="B220" s="190" t="s">
        <v>273</v>
      </c>
      <c r="C220" s="193" t="s">
        <v>159</v>
      </c>
      <c r="D220" s="192" t="s">
        <v>152</v>
      </c>
      <c r="E220" s="191" t="s">
        <v>371</v>
      </c>
      <c r="F220" s="199"/>
      <c r="G220" s="216" t="s">
        <v>44</v>
      </c>
      <c r="H220" s="71">
        <f>H221</f>
        <v>21614</v>
      </c>
      <c r="I220" s="71">
        <f>I221</f>
        <v>21614</v>
      </c>
    </row>
    <row r="221" spans="1:9" ht="59.25" customHeight="1">
      <c r="A221" s="217" t="s">
        <v>406</v>
      </c>
      <c r="B221" s="190" t="s">
        <v>273</v>
      </c>
      <c r="C221" s="193" t="s">
        <v>159</v>
      </c>
      <c r="D221" s="192" t="s">
        <v>152</v>
      </c>
      <c r="E221" s="191" t="s">
        <v>401</v>
      </c>
      <c r="F221" s="199"/>
      <c r="G221" s="216" t="s">
        <v>44</v>
      </c>
      <c r="H221" s="71">
        <f>H222+H223</f>
        <v>21614</v>
      </c>
      <c r="I221" s="71">
        <f>I222+I223</f>
        <v>21614</v>
      </c>
    </row>
    <row r="222" spans="1:9" ht="15.75">
      <c r="A222" s="196" t="s">
        <v>138</v>
      </c>
      <c r="B222" s="190" t="s">
        <v>273</v>
      </c>
      <c r="C222" s="193" t="s">
        <v>159</v>
      </c>
      <c r="D222" s="192" t="s">
        <v>152</v>
      </c>
      <c r="E222" s="191" t="s">
        <v>401</v>
      </c>
      <c r="F222" s="199"/>
      <c r="G222" s="216" t="s">
        <v>68</v>
      </c>
      <c r="H222" s="71">
        <f>2315+2100</f>
        <v>4415</v>
      </c>
      <c r="I222" s="71">
        <f>2315+2100</f>
        <v>4415</v>
      </c>
    </row>
    <row r="223" spans="1:9" ht="15.75">
      <c r="A223" s="196" t="s">
        <v>200</v>
      </c>
      <c r="B223" s="190" t="s">
        <v>273</v>
      </c>
      <c r="C223" s="193" t="s">
        <v>159</v>
      </c>
      <c r="D223" s="192" t="s">
        <v>152</v>
      </c>
      <c r="E223" s="191" t="s">
        <v>401</v>
      </c>
      <c r="F223" s="199"/>
      <c r="G223" s="216" t="s">
        <v>201</v>
      </c>
      <c r="H223" s="71">
        <f>7685+9514</f>
        <v>17199</v>
      </c>
      <c r="I223" s="71">
        <f>7685+9514</f>
        <v>17199</v>
      </c>
    </row>
    <row r="224" spans="1:9" ht="15.75">
      <c r="A224" s="165" t="s">
        <v>27</v>
      </c>
      <c r="B224" s="107" t="s">
        <v>273</v>
      </c>
      <c r="C224" s="35" t="s">
        <v>159</v>
      </c>
      <c r="D224" s="70" t="s">
        <v>159</v>
      </c>
      <c r="E224" s="35" t="s">
        <v>42</v>
      </c>
      <c r="F224" s="34"/>
      <c r="G224" s="154" t="s">
        <v>44</v>
      </c>
      <c r="H224" s="36">
        <f>H225</f>
        <v>8310.8</v>
      </c>
      <c r="I224" s="36">
        <f>I225</f>
        <v>5748</v>
      </c>
    </row>
    <row r="225" spans="1:9" ht="15.75">
      <c r="A225" s="142" t="s">
        <v>311</v>
      </c>
      <c r="B225" s="98" t="s">
        <v>273</v>
      </c>
      <c r="C225" s="31" t="s">
        <v>159</v>
      </c>
      <c r="D225" s="39" t="s">
        <v>159</v>
      </c>
      <c r="E225" s="40" t="s">
        <v>28</v>
      </c>
      <c r="F225" s="47"/>
      <c r="G225" s="74" t="s">
        <v>44</v>
      </c>
      <c r="H225" s="32">
        <f>H226</f>
        <v>8310.8</v>
      </c>
      <c r="I225" s="32">
        <f>I226</f>
        <v>5748</v>
      </c>
    </row>
    <row r="226" spans="1:9" ht="15.75">
      <c r="A226" s="52" t="s">
        <v>175</v>
      </c>
      <c r="B226" s="98" t="s">
        <v>273</v>
      </c>
      <c r="C226" s="31" t="s">
        <v>159</v>
      </c>
      <c r="D226" s="39" t="s">
        <v>159</v>
      </c>
      <c r="E226" s="40" t="s">
        <v>350</v>
      </c>
      <c r="F226" s="47"/>
      <c r="G226" s="74" t="s">
        <v>44</v>
      </c>
      <c r="H226" s="32">
        <f>H227+H228</f>
        <v>8310.8</v>
      </c>
      <c r="I226" s="71">
        <f>I227+I228</f>
        <v>5748</v>
      </c>
    </row>
    <row r="227" spans="1:9" ht="15.75">
      <c r="A227" s="189" t="s">
        <v>138</v>
      </c>
      <c r="B227" s="190" t="s">
        <v>273</v>
      </c>
      <c r="C227" s="193" t="s">
        <v>159</v>
      </c>
      <c r="D227" s="192" t="s">
        <v>159</v>
      </c>
      <c r="E227" s="191" t="s">
        <v>350</v>
      </c>
      <c r="F227" s="199"/>
      <c r="G227" s="198" t="s">
        <v>68</v>
      </c>
      <c r="H227" s="71">
        <f>2535+3971+27.8-483-2.1-485.1-328.2-875+1777-1575</f>
        <v>4562.4</v>
      </c>
      <c r="I227" s="71">
        <f>3971-483-2.1-485.1-328.2-875+1777-1575</f>
        <v>1999.6000000000004</v>
      </c>
    </row>
    <row r="228" spans="1:9" ht="15.75">
      <c r="A228" s="196" t="s">
        <v>200</v>
      </c>
      <c r="B228" s="190" t="s">
        <v>273</v>
      </c>
      <c r="C228" s="193" t="s">
        <v>159</v>
      </c>
      <c r="D228" s="192" t="s">
        <v>159</v>
      </c>
      <c r="E228" s="191" t="s">
        <v>350</v>
      </c>
      <c r="F228" s="199"/>
      <c r="G228" s="198" t="s">
        <v>201</v>
      </c>
      <c r="H228" s="71">
        <f>483+2.1+485.1+328.2+875+1575</f>
        <v>3748.4</v>
      </c>
      <c r="I228" s="71">
        <f>483+2.1+485.1+328.2+875+1575</f>
        <v>3748.4</v>
      </c>
    </row>
    <row r="229" spans="1:9" ht="15.75">
      <c r="A229" s="37" t="s">
        <v>31</v>
      </c>
      <c r="B229" s="93" t="s">
        <v>273</v>
      </c>
      <c r="C229" s="35" t="s">
        <v>159</v>
      </c>
      <c r="D229" s="34" t="s">
        <v>157</v>
      </c>
      <c r="E229" s="35" t="s">
        <v>42</v>
      </c>
      <c r="F229" s="34"/>
      <c r="G229" s="154" t="s">
        <v>44</v>
      </c>
      <c r="H229" s="36">
        <f>H235+H230+H238+H233</f>
        <v>81588.7</v>
      </c>
      <c r="I229" s="36">
        <f>I235+I230+I238+I233</f>
        <v>7549.5</v>
      </c>
    </row>
    <row r="230" spans="1:10" s="3" customFormat="1" ht="15.75">
      <c r="A230" s="142" t="s">
        <v>116</v>
      </c>
      <c r="B230" s="92" t="s">
        <v>273</v>
      </c>
      <c r="C230" s="31" t="s">
        <v>159</v>
      </c>
      <c r="D230" s="30" t="s">
        <v>157</v>
      </c>
      <c r="E230" s="31" t="s">
        <v>202</v>
      </c>
      <c r="F230" s="30"/>
      <c r="G230" s="74" t="s">
        <v>44</v>
      </c>
      <c r="H230" s="32">
        <f>H231</f>
        <v>9862</v>
      </c>
      <c r="I230" s="32">
        <f>I231</f>
        <v>0</v>
      </c>
      <c r="J230"/>
    </row>
    <row r="231" spans="1:9" ht="15.75">
      <c r="A231" s="144" t="s">
        <v>45</v>
      </c>
      <c r="B231" s="92" t="s">
        <v>273</v>
      </c>
      <c r="C231" s="31" t="s">
        <v>159</v>
      </c>
      <c r="D231" s="30" t="s">
        <v>157</v>
      </c>
      <c r="E231" s="31" t="s">
        <v>204</v>
      </c>
      <c r="F231" s="30"/>
      <c r="G231" s="74" t="s">
        <v>44</v>
      </c>
      <c r="H231" s="32">
        <f>H232</f>
        <v>9862</v>
      </c>
      <c r="I231" s="32">
        <f>I232</f>
        <v>0</v>
      </c>
    </row>
    <row r="232" spans="1:9" ht="15.75">
      <c r="A232" s="144" t="s">
        <v>195</v>
      </c>
      <c r="B232" s="92" t="s">
        <v>273</v>
      </c>
      <c r="C232" s="31" t="s">
        <v>159</v>
      </c>
      <c r="D232" s="30" t="s">
        <v>157</v>
      </c>
      <c r="E232" s="31" t="s">
        <v>204</v>
      </c>
      <c r="F232" s="30"/>
      <c r="G232" s="74" t="s">
        <v>203</v>
      </c>
      <c r="H232" s="32">
        <f>9348.9-385+1070-144-27.9</f>
        <v>9862</v>
      </c>
      <c r="I232" s="71">
        <f>617-617</f>
        <v>0</v>
      </c>
    </row>
    <row r="233" spans="1:9" ht="29.25">
      <c r="A233" s="172" t="s">
        <v>326</v>
      </c>
      <c r="B233" s="98" t="s">
        <v>273</v>
      </c>
      <c r="C233" s="31" t="s">
        <v>159</v>
      </c>
      <c r="D233" s="30" t="s">
        <v>157</v>
      </c>
      <c r="E233" s="40" t="s">
        <v>325</v>
      </c>
      <c r="F233" s="47"/>
      <c r="G233" s="74" t="s">
        <v>44</v>
      </c>
      <c r="H233" s="32">
        <f>H234</f>
        <v>6701.5</v>
      </c>
      <c r="I233" s="32">
        <f>I234</f>
        <v>6701.5</v>
      </c>
    </row>
    <row r="234" spans="1:11" ht="15.75">
      <c r="A234" s="52" t="s">
        <v>200</v>
      </c>
      <c r="B234" s="92" t="s">
        <v>273</v>
      </c>
      <c r="C234" s="31" t="s">
        <v>159</v>
      </c>
      <c r="D234" s="30" t="s">
        <v>157</v>
      </c>
      <c r="E234" s="31" t="s">
        <v>325</v>
      </c>
      <c r="F234" s="53"/>
      <c r="G234" s="74" t="s">
        <v>201</v>
      </c>
      <c r="H234" s="32">
        <f>6383+292.5+26</f>
        <v>6701.5</v>
      </c>
      <c r="I234" s="32">
        <f>6383+292.5+26</f>
        <v>6701.5</v>
      </c>
      <c r="J234" s="263"/>
      <c r="K234" s="263"/>
    </row>
    <row r="235" spans="1:9" ht="57.75">
      <c r="A235" s="172" t="s">
        <v>87</v>
      </c>
      <c r="B235" s="92" t="s">
        <v>273</v>
      </c>
      <c r="C235" s="31" t="s">
        <v>159</v>
      </c>
      <c r="D235" s="30" t="s">
        <v>157</v>
      </c>
      <c r="E235" s="31" t="s">
        <v>37</v>
      </c>
      <c r="F235" s="30"/>
      <c r="G235" s="74" t="s">
        <v>44</v>
      </c>
      <c r="H235" s="32">
        <f>H236</f>
        <v>18325.2</v>
      </c>
      <c r="I235" s="32">
        <f>I236</f>
        <v>848</v>
      </c>
    </row>
    <row r="236" spans="1:9" ht="15.75">
      <c r="A236" s="52" t="s">
        <v>25</v>
      </c>
      <c r="B236" s="98" t="s">
        <v>273</v>
      </c>
      <c r="C236" s="31" t="s">
        <v>159</v>
      </c>
      <c r="D236" s="30" t="s">
        <v>157</v>
      </c>
      <c r="E236" s="40" t="s">
        <v>176</v>
      </c>
      <c r="F236" s="39"/>
      <c r="G236" s="74" t="s">
        <v>44</v>
      </c>
      <c r="H236" s="41">
        <f>H237</f>
        <v>18325.2</v>
      </c>
      <c r="I236" s="41">
        <f>I237</f>
        <v>848</v>
      </c>
    </row>
    <row r="237" spans="1:9" ht="15.75">
      <c r="A237" s="52" t="s">
        <v>200</v>
      </c>
      <c r="B237" s="98" t="s">
        <v>273</v>
      </c>
      <c r="C237" s="31" t="s">
        <v>159</v>
      </c>
      <c r="D237" s="30" t="s">
        <v>157</v>
      </c>
      <c r="E237" s="40" t="s">
        <v>176</v>
      </c>
      <c r="F237" s="39"/>
      <c r="G237" s="74" t="s">
        <v>201</v>
      </c>
      <c r="H237" s="41">
        <f>890+16854-42+623.2</f>
        <v>18325.2</v>
      </c>
      <c r="I237" s="200">
        <f>890-42</f>
        <v>848</v>
      </c>
    </row>
    <row r="238" spans="1:9" ht="20.25" customHeight="1">
      <c r="A238" s="52" t="s">
        <v>100</v>
      </c>
      <c r="B238" s="98" t="s">
        <v>273</v>
      </c>
      <c r="C238" s="31" t="s">
        <v>159</v>
      </c>
      <c r="D238" s="30" t="s">
        <v>157</v>
      </c>
      <c r="E238" s="40" t="s">
        <v>101</v>
      </c>
      <c r="F238" s="39"/>
      <c r="G238" s="74" t="s">
        <v>44</v>
      </c>
      <c r="H238" s="41">
        <f>H239</f>
        <v>46700</v>
      </c>
      <c r="I238" s="41">
        <f>I239</f>
        <v>0</v>
      </c>
    </row>
    <row r="239" spans="1:9" ht="29.25">
      <c r="A239" s="168" t="s">
        <v>315</v>
      </c>
      <c r="B239" s="190" t="s">
        <v>273</v>
      </c>
      <c r="C239" s="193" t="s">
        <v>159</v>
      </c>
      <c r="D239" s="194" t="s">
        <v>157</v>
      </c>
      <c r="E239" s="191" t="s">
        <v>177</v>
      </c>
      <c r="F239" s="192"/>
      <c r="G239" s="198" t="s">
        <v>44</v>
      </c>
      <c r="H239" s="200">
        <f>H241+H240</f>
        <v>46700</v>
      </c>
      <c r="I239" s="200">
        <f>I241</f>
        <v>0</v>
      </c>
    </row>
    <row r="240" spans="1:9" ht="15.75">
      <c r="A240" s="196" t="s">
        <v>200</v>
      </c>
      <c r="B240" s="190" t="s">
        <v>273</v>
      </c>
      <c r="C240" s="193" t="s">
        <v>159</v>
      </c>
      <c r="D240" s="194" t="s">
        <v>157</v>
      </c>
      <c r="E240" s="191" t="s">
        <v>177</v>
      </c>
      <c r="F240" s="192"/>
      <c r="G240" s="198" t="s">
        <v>201</v>
      </c>
      <c r="H240" s="200">
        <f>3639.2+200+396+16934-1684.8+25+400+616.6-181.1+14.9+98.2+285.6</f>
        <v>20743.600000000002</v>
      </c>
      <c r="I240" s="200"/>
    </row>
    <row r="241" spans="1:9" ht="17.25" customHeight="1">
      <c r="A241" s="201" t="s">
        <v>195</v>
      </c>
      <c r="B241" s="190" t="s">
        <v>273</v>
      </c>
      <c r="C241" s="193" t="s">
        <v>159</v>
      </c>
      <c r="D241" s="194" t="s">
        <v>157</v>
      </c>
      <c r="E241" s="191" t="s">
        <v>177</v>
      </c>
      <c r="F241" s="192"/>
      <c r="G241" s="198" t="s">
        <v>203</v>
      </c>
      <c r="H241" s="200">
        <f>28000+15000-3639.2-200-396-16934+3700+1684.8-25-400-616.6+181.1-14.9-98.2-285.6</f>
        <v>25956.4</v>
      </c>
      <c r="I241" s="189"/>
    </row>
    <row r="242" spans="1:9" ht="15.75">
      <c r="A242" s="37" t="s">
        <v>5</v>
      </c>
      <c r="B242" s="93" t="s">
        <v>273</v>
      </c>
      <c r="C242" s="35" t="s">
        <v>158</v>
      </c>
      <c r="D242" s="34" t="s">
        <v>96</v>
      </c>
      <c r="E242" s="35" t="s">
        <v>42</v>
      </c>
      <c r="F242" s="34"/>
      <c r="G242" s="154" t="s">
        <v>44</v>
      </c>
      <c r="H242" s="36">
        <f aca="true" t="shared" si="9" ref="H242:I245">H243</f>
        <v>8671.7</v>
      </c>
      <c r="I242" s="36">
        <f t="shared" si="9"/>
        <v>8361</v>
      </c>
    </row>
    <row r="243" spans="1:9" ht="15.75">
      <c r="A243" s="37" t="s">
        <v>226</v>
      </c>
      <c r="B243" s="93" t="s">
        <v>273</v>
      </c>
      <c r="C243" s="35" t="s">
        <v>158</v>
      </c>
      <c r="D243" s="34" t="s">
        <v>153</v>
      </c>
      <c r="E243" s="35" t="s">
        <v>42</v>
      </c>
      <c r="F243" s="34"/>
      <c r="G243" s="154" t="s">
        <v>44</v>
      </c>
      <c r="H243" s="36">
        <f t="shared" si="9"/>
        <v>8671.7</v>
      </c>
      <c r="I243" s="36">
        <f t="shared" si="9"/>
        <v>8361</v>
      </c>
    </row>
    <row r="244" spans="1:9" ht="15.75">
      <c r="A244" s="144" t="s">
        <v>95</v>
      </c>
      <c r="B244" s="92" t="s">
        <v>273</v>
      </c>
      <c r="C244" s="31" t="s">
        <v>158</v>
      </c>
      <c r="D244" s="30" t="s">
        <v>153</v>
      </c>
      <c r="E244" s="31" t="s">
        <v>75</v>
      </c>
      <c r="F244" s="82"/>
      <c r="G244" s="74" t="s">
        <v>44</v>
      </c>
      <c r="H244" s="32">
        <f t="shared" si="9"/>
        <v>8671.7</v>
      </c>
      <c r="I244" s="32">
        <f t="shared" si="9"/>
        <v>8361</v>
      </c>
    </row>
    <row r="245" spans="1:9" ht="57.75">
      <c r="A245" s="143" t="s">
        <v>207</v>
      </c>
      <c r="B245" s="92" t="s">
        <v>273</v>
      </c>
      <c r="C245" s="31" t="s">
        <v>158</v>
      </c>
      <c r="D245" s="30" t="s">
        <v>153</v>
      </c>
      <c r="E245" s="31" t="s">
        <v>206</v>
      </c>
      <c r="F245" s="82"/>
      <c r="G245" s="74" t="s">
        <v>44</v>
      </c>
      <c r="H245" s="32">
        <f t="shared" si="9"/>
        <v>8671.7</v>
      </c>
      <c r="I245" s="32">
        <f t="shared" si="9"/>
        <v>8361</v>
      </c>
    </row>
    <row r="246" spans="1:10" s="10" customFormat="1" ht="16.5" thickBot="1">
      <c r="A246" s="145" t="s">
        <v>134</v>
      </c>
      <c r="B246" s="108" t="s">
        <v>273</v>
      </c>
      <c r="C246" s="43" t="s">
        <v>158</v>
      </c>
      <c r="D246" s="42" t="s">
        <v>153</v>
      </c>
      <c r="E246" s="43" t="s">
        <v>206</v>
      </c>
      <c r="F246" s="109"/>
      <c r="G246" s="110" t="s">
        <v>46</v>
      </c>
      <c r="H246" s="44">
        <f>8319+309.6+1.1+42</f>
        <v>8671.7</v>
      </c>
      <c r="I246" s="162">
        <f>8319+42</f>
        <v>8361</v>
      </c>
      <c r="J246"/>
    </row>
    <row r="247" spans="1:10" s="10" customFormat="1" ht="54.75" thickBot="1">
      <c r="A247" s="173" t="s">
        <v>251</v>
      </c>
      <c r="B247" s="87" t="s">
        <v>274</v>
      </c>
      <c r="C247" s="87" t="s">
        <v>96</v>
      </c>
      <c r="D247" s="24" t="s">
        <v>96</v>
      </c>
      <c r="E247" s="251" t="s">
        <v>42</v>
      </c>
      <c r="F247" s="22"/>
      <c r="G247" s="111" t="s">
        <v>44</v>
      </c>
      <c r="H247" s="25">
        <f>H253+H276+H311+H248</f>
        <v>153815.8</v>
      </c>
      <c r="I247" s="25">
        <f>I253+I276+I311+I252</f>
        <v>10116.599999999999</v>
      </c>
      <c r="J247"/>
    </row>
    <row r="248" spans="1:10" s="10" customFormat="1" ht="30">
      <c r="A248" s="262" t="s">
        <v>90</v>
      </c>
      <c r="B248" s="122" t="s">
        <v>274</v>
      </c>
      <c r="C248" s="78" t="s">
        <v>156</v>
      </c>
      <c r="D248" s="261" t="s">
        <v>96</v>
      </c>
      <c r="E248" s="122" t="s">
        <v>42</v>
      </c>
      <c r="F248" s="151"/>
      <c r="G248" s="259" t="s">
        <v>44</v>
      </c>
      <c r="H248" s="153">
        <f>H249</f>
        <v>50</v>
      </c>
      <c r="I248" s="153"/>
      <c r="J248"/>
    </row>
    <row r="249" spans="1:10" s="10" customFormat="1" ht="29.25">
      <c r="A249" s="143" t="s">
        <v>84</v>
      </c>
      <c r="B249" s="40" t="s">
        <v>274</v>
      </c>
      <c r="C249" s="30" t="s">
        <v>156</v>
      </c>
      <c r="D249" s="98" t="s">
        <v>155</v>
      </c>
      <c r="E249" s="31" t="s">
        <v>42</v>
      </c>
      <c r="F249" s="30"/>
      <c r="G249" s="74" t="s">
        <v>44</v>
      </c>
      <c r="H249" s="32">
        <f>H250</f>
        <v>50</v>
      </c>
      <c r="I249" s="32"/>
      <c r="J249"/>
    </row>
    <row r="250" spans="1:10" s="10" customFormat="1" ht="15.75">
      <c r="A250" s="52" t="s">
        <v>100</v>
      </c>
      <c r="B250" s="31" t="s">
        <v>274</v>
      </c>
      <c r="C250" s="53" t="s">
        <v>156</v>
      </c>
      <c r="D250" s="31" t="s">
        <v>155</v>
      </c>
      <c r="E250" s="54" t="s">
        <v>101</v>
      </c>
      <c r="F250" s="53"/>
      <c r="G250" s="103" t="s">
        <v>44</v>
      </c>
      <c r="H250" s="55">
        <f>H252</f>
        <v>50</v>
      </c>
      <c r="I250" s="55"/>
      <c r="J250"/>
    </row>
    <row r="251" spans="1:10" s="10" customFormat="1" ht="43.5">
      <c r="A251" s="142" t="s">
        <v>286</v>
      </c>
      <c r="B251" s="102" t="s">
        <v>274</v>
      </c>
      <c r="C251" s="54" t="s">
        <v>156</v>
      </c>
      <c r="D251" s="53" t="s">
        <v>155</v>
      </c>
      <c r="E251" s="54" t="s">
        <v>197</v>
      </c>
      <c r="F251" s="53"/>
      <c r="G251" s="103" t="s">
        <v>44</v>
      </c>
      <c r="H251" s="55">
        <f>H252</f>
        <v>50</v>
      </c>
      <c r="I251" s="66"/>
      <c r="J251"/>
    </row>
    <row r="252" spans="1:10" s="10" customFormat="1" ht="15.75">
      <c r="A252" s="52" t="s">
        <v>138</v>
      </c>
      <c r="B252" s="92" t="s">
        <v>274</v>
      </c>
      <c r="C252" s="31" t="s">
        <v>156</v>
      </c>
      <c r="D252" s="30" t="s">
        <v>155</v>
      </c>
      <c r="E252" s="31" t="s">
        <v>197</v>
      </c>
      <c r="F252" s="30"/>
      <c r="G252" s="74" t="s">
        <v>68</v>
      </c>
      <c r="H252" s="32">
        <v>50</v>
      </c>
      <c r="I252" s="36"/>
      <c r="J252"/>
    </row>
    <row r="253" spans="1:10" s="10" customFormat="1" ht="15.75">
      <c r="A253" s="37" t="s">
        <v>6</v>
      </c>
      <c r="B253" s="64" t="s">
        <v>274</v>
      </c>
      <c r="C253" s="38" t="s">
        <v>159</v>
      </c>
      <c r="D253" s="89" t="s">
        <v>96</v>
      </c>
      <c r="E253" s="79" t="s">
        <v>42</v>
      </c>
      <c r="F253" s="78"/>
      <c r="G253" s="260" t="s">
        <v>44</v>
      </c>
      <c r="H253" s="66">
        <f>H254+H260+H272+H269</f>
        <v>40134.399999999994</v>
      </c>
      <c r="I253" s="66">
        <f>I254+I260</f>
        <v>3166.4</v>
      </c>
      <c r="J253"/>
    </row>
    <row r="254" spans="1:10" s="10" customFormat="1" ht="15.75">
      <c r="A254" s="166" t="s">
        <v>9</v>
      </c>
      <c r="B254" s="64" t="s">
        <v>274</v>
      </c>
      <c r="C254" s="34" t="s">
        <v>159</v>
      </c>
      <c r="D254" s="89" t="s">
        <v>152</v>
      </c>
      <c r="E254" s="35" t="s">
        <v>42</v>
      </c>
      <c r="F254" s="34"/>
      <c r="G254" s="94" t="s">
        <v>44</v>
      </c>
      <c r="H254" s="66">
        <f>H255</f>
        <v>32762.6</v>
      </c>
      <c r="I254" s="66">
        <f>I255</f>
        <v>428.3</v>
      </c>
      <c r="J254"/>
    </row>
    <row r="255" spans="1:10" s="10" customFormat="1" ht="15.75">
      <c r="A255" s="161" t="s">
        <v>29</v>
      </c>
      <c r="B255" s="68" t="s">
        <v>274</v>
      </c>
      <c r="C255" s="30" t="s">
        <v>159</v>
      </c>
      <c r="D255" s="102" t="s">
        <v>152</v>
      </c>
      <c r="E255" s="68" t="s">
        <v>30</v>
      </c>
      <c r="F255" s="47"/>
      <c r="G255" s="74" t="s">
        <v>44</v>
      </c>
      <c r="H255" s="32">
        <f>H256</f>
        <v>32762.6</v>
      </c>
      <c r="I255" s="32">
        <f>I256</f>
        <v>428.3</v>
      </c>
      <c r="J255"/>
    </row>
    <row r="256" spans="1:9" ht="15.75">
      <c r="A256" s="145" t="s">
        <v>25</v>
      </c>
      <c r="B256" s="40" t="s">
        <v>274</v>
      </c>
      <c r="C256" s="30" t="s">
        <v>159</v>
      </c>
      <c r="D256" s="102" t="s">
        <v>152</v>
      </c>
      <c r="E256" s="40" t="s">
        <v>174</v>
      </c>
      <c r="F256" s="47"/>
      <c r="G256" s="74" t="s">
        <v>44</v>
      </c>
      <c r="H256" s="41">
        <f>H257+H258</f>
        <v>32762.6</v>
      </c>
      <c r="I256" s="41">
        <f>I257+I258</f>
        <v>428.3</v>
      </c>
    </row>
    <row r="257" spans="1:9" ht="15.75">
      <c r="A257" s="52" t="s">
        <v>138</v>
      </c>
      <c r="B257" s="40" t="s">
        <v>274</v>
      </c>
      <c r="C257" s="30" t="s">
        <v>159</v>
      </c>
      <c r="D257" s="102" t="s">
        <v>152</v>
      </c>
      <c r="E257" s="40" t="s">
        <v>174</v>
      </c>
      <c r="F257" s="47"/>
      <c r="G257" s="74" t="s">
        <v>68</v>
      </c>
      <c r="H257" s="41">
        <f>27232.6+2872.3+1374.4+80+800+40+15</f>
        <v>32414.3</v>
      </c>
      <c r="I257" s="41">
        <f>80</f>
        <v>80</v>
      </c>
    </row>
    <row r="258" spans="1:9" ht="43.5">
      <c r="A258" s="217" t="s">
        <v>417</v>
      </c>
      <c r="B258" s="40" t="s">
        <v>273</v>
      </c>
      <c r="C258" s="30" t="s">
        <v>159</v>
      </c>
      <c r="D258" s="92" t="s">
        <v>152</v>
      </c>
      <c r="E258" s="40" t="s">
        <v>418</v>
      </c>
      <c r="F258" s="47"/>
      <c r="G258" s="74" t="s">
        <v>44</v>
      </c>
      <c r="H258" s="41">
        <f>H259</f>
        <v>348.3</v>
      </c>
      <c r="I258" s="145">
        <f>I259</f>
        <v>348.3</v>
      </c>
    </row>
    <row r="259" spans="1:9" ht="15.75">
      <c r="A259" s="189" t="s">
        <v>138</v>
      </c>
      <c r="B259" s="40" t="s">
        <v>273</v>
      </c>
      <c r="C259" s="30" t="s">
        <v>159</v>
      </c>
      <c r="D259" s="92" t="s">
        <v>152</v>
      </c>
      <c r="E259" s="40" t="s">
        <v>418</v>
      </c>
      <c r="F259" s="47"/>
      <c r="G259" s="74" t="s">
        <v>68</v>
      </c>
      <c r="H259" s="41">
        <v>348.3</v>
      </c>
      <c r="I259" s="145">
        <v>348.3</v>
      </c>
    </row>
    <row r="260" spans="1:9" ht="15.75">
      <c r="A260" s="37" t="s">
        <v>27</v>
      </c>
      <c r="B260" s="35" t="s">
        <v>274</v>
      </c>
      <c r="C260" s="38" t="s">
        <v>159</v>
      </c>
      <c r="D260" s="93" t="s">
        <v>159</v>
      </c>
      <c r="E260" s="35" t="s">
        <v>42</v>
      </c>
      <c r="F260" s="34"/>
      <c r="G260" s="94" t="s">
        <v>44</v>
      </c>
      <c r="H260" s="36">
        <f>H261+H266</f>
        <v>5871.799999999999</v>
      </c>
      <c r="I260" s="36">
        <f>I261+I266</f>
        <v>2738.1</v>
      </c>
    </row>
    <row r="261" spans="1:9" ht="15.75">
      <c r="A261" s="37" t="s">
        <v>72</v>
      </c>
      <c r="B261" s="35" t="s">
        <v>274</v>
      </c>
      <c r="C261" s="38" t="s">
        <v>159</v>
      </c>
      <c r="D261" s="93" t="s">
        <v>159</v>
      </c>
      <c r="E261" s="35" t="s">
        <v>73</v>
      </c>
      <c r="F261" s="34"/>
      <c r="G261" s="94" t="s">
        <v>44</v>
      </c>
      <c r="H261" s="36">
        <f>H264+H263</f>
        <v>5771.799999999999</v>
      </c>
      <c r="I261" s="36">
        <f>I264+I263</f>
        <v>2738.1</v>
      </c>
    </row>
    <row r="262" spans="1:9" ht="43.5">
      <c r="A262" s="142" t="s">
        <v>370</v>
      </c>
      <c r="B262" s="31" t="s">
        <v>274</v>
      </c>
      <c r="C262" s="53" t="s">
        <v>159</v>
      </c>
      <c r="D262" s="92" t="s">
        <v>159</v>
      </c>
      <c r="E262" s="31" t="s">
        <v>369</v>
      </c>
      <c r="F262" s="30"/>
      <c r="G262" s="74" t="s">
        <v>44</v>
      </c>
      <c r="H262" s="32">
        <f>H263</f>
        <v>2712</v>
      </c>
      <c r="I262" s="32">
        <v>2712</v>
      </c>
    </row>
    <row r="263" spans="1:9" ht="15.75">
      <c r="A263" s="52" t="s">
        <v>138</v>
      </c>
      <c r="B263" s="31" t="s">
        <v>274</v>
      </c>
      <c r="C263" s="53" t="s">
        <v>159</v>
      </c>
      <c r="D263" s="92" t="s">
        <v>159</v>
      </c>
      <c r="E263" s="31" t="s">
        <v>369</v>
      </c>
      <c r="F263" s="30"/>
      <c r="G263" s="74" t="s">
        <v>68</v>
      </c>
      <c r="H263" s="32">
        <v>2712</v>
      </c>
      <c r="I263" s="32">
        <v>2712</v>
      </c>
    </row>
    <row r="264" spans="1:9" ht="15.75">
      <c r="A264" s="145" t="s">
        <v>25</v>
      </c>
      <c r="B264" s="31" t="s">
        <v>274</v>
      </c>
      <c r="C264" s="53" t="s">
        <v>159</v>
      </c>
      <c r="D264" s="92" t="s">
        <v>159</v>
      </c>
      <c r="E264" s="31" t="s">
        <v>247</v>
      </c>
      <c r="F264" s="30"/>
      <c r="G264" s="74" t="s">
        <v>44</v>
      </c>
      <c r="H264" s="32">
        <f>H265</f>
        <v>3059.7999999999997</v>
      </c>
      <c r="I264" s="32">
        <f>I265</f>
        <v>26.1</v>
      </c>
    </row>
    <row r="265" spans="1:9" ht="15.75">
      <c r="A265" s="196" t="s">
        <v>138</v>
      </c>
      <c r="B265" s="193" t="s">
        <v>274</v>
      </c>
      <c r="C265" s="205" t="s">
        <v>159</v>
      </c>
      <c r="D265" s="197" t="s">
        <v>159</v>
      </c>
      <c r="E265" s="193" t="s">
        <v>247</v>
      </c>
      <c r="F265" s="194" t="s">
        <v>13</v>
      </c>
      <c r="G265" s="198" t="s">
        <v>68</v>
      </c>
      <c r="H265" s="71">
        <f>3030+3.7+26.1</f>
        <v>3059.7999999999997</v>
      </c>
      <c r="I265" s="71">
        <v>26.1</v>
      </c>
    </row>
    <row r="266" spans="1:9" ht="30">
      <c r="A266" s="33" t="s">
        <v>311</v>
      </c>
      <c r="B266" s="69" t="s">
        <v>274</v>
      </c>
      <c r="C266" s="38" t="s">
        <v>159</v>
      </c>
      <c r="D266" s="107" t="s">
        <v>159</v>
      </c>
      <c r="E266" s="69" t="s">
        <v>28</v>
      </c>
      <c r="F266" s="78"/>
      <c r="G266" s="94" t="s">
        <v>44</v>
      </c>
      <c r="H266" s="36">
        <f>H267</f>
        <v>100</v>
      </c>
      <c r="I266" s="36">
        <f>I267</f>
        <v>0</v>
      </c>
    </row>
    <row r="267" spans="1:9" ht="15.75">
      <c r="A267" s="145" t="s">
        <v>193</v>
      </c>
      <c r="B267" s="40" t="s">
        <v>274</v>
      </c>
      <c r="C267" s="53" t="s">
        <v>159</v>
      </c>
      <c r="D267" s="98" t="s">
        <v>159</v>
      </c>
      <c r="E267" s="40" t="s">
        <v>350</v>
      </c>
      <c r="F267" s="47"/>
      <c r="G267" s="74" t="s">
        <v>44</v>
      </c>
      <c r="H267" s="32">
        <f>H268</f>
        <v>100</v>
      </c>
      <c r="I267" s="32">
        <f>I268</f>
        <v>0</v>
      </c>
    </row>
    <row r="268" spans="1:9" ht="15.75">
      <c r="A268" s="52" t="s">
        <v>138</v>
      </c>
      <c r="B268" s="40" t="s">
        <v>274</v>
      </c>
      <c r="C268" s="53" t="s">
        <v>159</v>
      </c>
      <c r="D268" s="98" t="s">
        <v>159</v>
      </c>
      <c r="E268" s="40" t="s">
        <v>350</v>
      </c>
      <c r="F268" s="47"/>
      <c r="G268" s="74" t="s">
        <v>68</v>
      </c>
      <c r="H268" s="32">
        <v>100</v>
      </c>
      <c r="I268" s="52"/>
    </row>
    <row r="269" spans="1:9" ht="15.75">
      <c r="A269" s="37" t="s">
        <v>100</v>
      </c>
      <c r="B269" s="69" t="s">
        <v>274</v>
      </c>
      <c r="C269" s="38" t="s">
        <v>159</v>
      </c>
      <c r="D269" s="107" t="s">
        <v>159</v>
      </c>
      <c r="E269" s="69" t="s">
        <v>101</v>
      </c>
      <c r="F269" s="78"/>
      <c r="G269" s="94" t="s">
        <v>44</v>
      </c>
      <c r="H269" s="36">
        <f>H270</f>
        <v>1000</v>
      </c>
      <c r="I269" s="36">
        <f>I270</f>
        <v>0</v>
      </c>
    </row>
    <row r="270" spans="1:9" ht="29.25">
      <c r="A270" s="174" t="s">
        <v>297</v>
      </c>
      <c r="B270" s="40" t="s">
        <v>274</v>
      </c>
      <c r="C270" s="53" t="s">
        <v>159</v>
      </c>
      <c r="D270" s="98" t="s">
        <v>159</v>
      </c>
      <c r="E270" s="40" t="s">
        <v>298</v>
      </c>
      <c r="F270" s="47"/>
      <c r="G270" s="74" t="s">
        <v>44</v>
      </c>
      <c r="H270" s="32">
        <f>H271</f>
        <v>1000</v>
      </c>
      <c r="I270" s="52"/>
    </row>
    <row r="271" spans="1:9" ht="15.75">
      <c r="A271" s="52" t="s">
        <v>138</v>
      </c>
      <c r="B271" s="40" t="s">
        <v>274</v>
      </c>
      <c r="C271" s="47" t="s">
        <v>159</v>
      </c>
      <c r="D271" s="98" t="s">
        <v>159</v>
      </c>
      <c r="E271" s="40" t="s">
        <v>298</v>
      </c>
      <c r="F271" s="47"/>
      <c r="G271" s="115" t="s">
        <v>68</v>
      </c>
      <c r="H271" s="41">
        <v>1000</v>
      </c>
      <c r="I271" s="145"/>
    </row>
    <row r="272" spans="1:9" ht="15.75">
      <c r="A272" s="37" t="s">
        <v>31</v>
      </c>
      <c r="B272" s="35" t="s">
        <v>274</v>
      </c>
      <c r="C272" s="34" t="s">
        <v>159</v>
      </c>
      <c r="D272" s="93" t="s">
        <v>157</v>
      </c>
      <c r="E272" s="35" t="s">
        <v>42</v>
      </c>
      <c r="F272" s="34"/>
      <c r="G272" s="94" t="s">
        <v>44</v>
      </c>
      <c r="H272" s="36">
        <f>H273</f>
        <v>500</v>
      </c>
      <c r="I272" s="37"/>
    </row>
    <row r="273" spans="1:9" ht="15.75">
      <c r="A273" s="52" t="s">
        <v>100</v>
      </c>
      <c r="B273" s="54" t="s">
        <v>274</v>
      </c>
      <c r="C273" s="47" t="s">
        <v>159</v>
      </c>
      <c r="D273" s="102" t="s">
        <v>157</v>
      </c>
      <c r="E273" s="68" t="s">
        <v>101</v>
      </c>
      <c r="F273" s="47"/>
      <c r="G273" s="74" t="s">
        <v>44</v>
      </c>
      <c r="H273" s="55">
        <f>H274</f>
        <v>500</v>
      </c>
      <c r="I273" s="144"/>
    </row>
    <row r="274" spans="1:9" ht="29.25">
      <c r="A274" s="168" t="s">
        <v>315</v>
      </c>
      <c r="B274" s="191" t="s">
        <v>274</v>
      </c>
      <c r="C274" s="194" t="s">
        <v>159</v>
      </c>
      <c r="D274" s="197" t="s">
        <v>157</v>
      </c>
      <c r="E274" s="191" t="s">
        <v>177</v>
      </c>
      <c r="F274" s="192"/>
      <c r="G274" s="198" t="s">
        <v>44</v>
      </c>
      <c r="H274" s="71">
        <f>H275</f>
        <v>500</v>
      </c>
      <c r="I274" s="196"/>
    </row>
    <row r="275" spans="1:9" ht="15.75">
      <c r="A275" s="196" t="s">
        <v>138</v>
      </c>
      <c r="B275" s="191" t="s">
        <v>274</v>
      </c>
      <c r="C275" s="194" t="s">
        <v>159</v>
      </c>
      <c r="D275" s="197" t="s">
        <v>157</v>
      </c>
      <c r="E275" s="191" t="s">
        <v>177</v>
      </c>
      <c r="F275" s="192"/>
      <c r="G275" s="198" t="s">
        <v>68</v>
      </c>
      <c r="H275" s="71">
        <v>500</v>
      </c>
      <c r="I275" s="196"/>
    </row>
    <row r="276" spans="1:9" ht="15.75">
      <c r="A276" s="37" t="s">
        <v>324</v>
      </c>
      <c r="B276" s="35" t="s">
        <v>274</v>
      </c>
      <c r="C276" s="34" t="s">
        <v>160</v>
      </c>
      <c r="D276" s="93" t="s">
        <v>96</v>
      </c>
      <c r="E276" s="35" t="s">
        <v>42</v>
      </c>
      <c r="F276" s="34"/>
      <c r="G276" s="94" t="s">
        <v>44</v>
      </c>
      <c r="H276" s="36">
        <f>H277+H306</f>
        <v>99755.90000000001</v>
      </c>
      <c r="I276" s="36">
        <f>I277+I306</f>
        <v>6831.4</v>
      </c>
    </row>
    <row r="277" spans="1:9" ht="15.75">
      <c r="A277" s="166" t="s">
        <v>32</v>
      </c>
      <c r="B277" s="64" t="s">
        <v>274</v>
      </c>
      <c r="C277" s="38" t="s">
        <v>160</v>
      </c>
      <c r="D277" s="89" t="s">
        <v>151</v>
      </c>
      <c r="E277" s="35" t="s">
        <v>42</v>
      </c>
      <c r="F277" s="38"/>
      <c r="G277" s="94" t="s">
        <v>44</v>
      </c>
      <c r="H277" s="66">
        <f>H278+H285+H290+H298+H303</f>
        <v>99558.90000000001</v>
      </c>
      <c r="I277" s="66">
        <f>I278+I285+I290+I298+I303</f>
        <v>6634.4</v>
      </c>
    </row>
    <row r="278" spans="1:9" ht="29.25">
      <c r="A278" s="142" t="s">
        <v>404</v>
      </c>
      <c r="B278" s="31" t="s">
        <v>274</v>
      </c>
      <c r="C278" s="53" t="s">
        <v>160</v>
      </c>
      <c r="D278" s="102" t="s">
        <v>151</v>
      </c>
      <c r="E278" s="31" t="s">
        <v>33</v>
      </c>
      <c r="F278" s="30"/>
      <c r="G278" s="74" t="s">
        <v>44</v>
      </c>
      <c r="H278" s="32">
        <f>H281+H279</f>
        <v>72669.30000000002</v>
      </c>
      <c r="I278" s="32">
        <f>I281+I279</f>
        <v>5647.2</v>
      </c>
    </row>
    <row r="279" spans="1:9" ht="61.5" customHeight="1">
      <c r="A279" s="172" t="s">
        <v>413</v>
      </c>
      <c r="B279" s="31" t="s">
        <v>274</v>
      </c>
      <c r="C279" s="53" t="s">
        <v>160</v>
      </c>
      <c r="D279" s="102" t="s">
        <v>151</v>
      </c>
      <c r="E279" s="31" t="s">
        <v>403</v>
      </c>
      <c r="F279" s="30"/>
      <c r="G279" s="74" t="s">
        <v>44</v>
      </c>
      <c r="H279" s="32">
        <f>H280</f>
        <v>4963</v>
      </c>
      <c r="I279" s="32">
        <f>I280</f>
        <v>4963</v>
      </c>
    </row>
    <row r="280" spans="1:9" ht="15.75">
      <c r="A280" s="52" t="s">
        <v>138</v>
      </c>
      <c r="B280" s="31" t="s">
        <v>274</v>
      </c>
      <c r="C280" s="53" t="s">
        <v>160</v>
      </c>
      <c r="D280" s="102" t="s">
        <v>151</v>
      </c>
      <c r="E280" s="31" t="s">
        <v>395</v>
      </c>
      <c r="F280" s="30"/>
      <c r="G280" s="74" t="s">
        <v>68</v>
      </c>
      <c r="H280" s="32">
        <v>4963</v>
      </c>
      <c r="I280" s="32">
        <v>4963</v>
      </c>
    </row>
    <row r="281" spans="1:9" ht="15.75">
      <c r="A281" s="145" t="s">
        <v>25</v>
      </c>
      <c r="B281" s="31" t="s">
        <v>274</v>
      </c>
      <c r="C281" s="53" t="s">
        <v>160</v>
      </c>
      <c r="D281" s="102" t="s">
        <v>151</v>
      </c>
      <c r="E281" s="31" t="s">
        <v>178</v>
      </c>
      <c r="F281" s="30"/>
      <c r="G281" s="74" t="s">
        <v>44</v>
      </c>
      <c r="H281" s="32">
        <f>H282+H283</f>
        <v>67706.30000000002</v>
      </c>
      <c r="I281" s="32">
        <f>I282+I283</f>
        <v>684.2</v>
      </c>
    </row>
    <row r="282" spans="1:9" ht="15.75">
      <c r="A282" s="52" t="s">
        <v>138</v>
      </c>
      <c r="B282" s="31" t="s">
        <v>274</v>
      </c>
      <c r="C282" s="53" t="s">
        <v>160</v>
      </c>
      <c r="D282" s="102" t="s">
        <v>151</v>
      </c>
      <c r="E282" s="31" t="s">
        <v>178</v>
      </c>
      <c r="F282" s="30"/>
      <c r="G282" s="74" t="s">
        <v>68</v>
      </c>
      <c r="H282" s="32">
        <f>16800+200+43345.4+300+1500+200+600+1198+258.3+1180+43.3+357.1+260+640+4963-4963+400</f>
        <v>67282.10000000002</v>
      </c>
      <c r="I282" s="32">
        <f>260+4963-4963</f>
        <v>260</v>
      </c>
    </row>
    <row r="283" spans="1:9" ht="29.25">
      <c r="A283" s="217" t="s">
        <v>419</v>
      </c>
      <c r="B283" s="31" t="s">
        <v>274</v>
      </c>
      <c r="C283" s="53" t="s">
        <v>160</v>
      </c>
      <c r="D283" s="102" t="s">
        <v>151</v>
      </c>
      <c r="E283" s="31" t="s">
        <v>420</v>
      </c>
      <c r="F283" s="30"/>
      <c r="G283" s="74" t="s">
        <v>44</v>
      </c>
      <c r="H283" s="32">
        <f>H284</f>
        <v>424.2</v>
      </c>
      <c r="I283" s="32">
        <f>I284</f>
        <v>424.2</v>
      </c>
    </row>
    <row r="284" spans="1:9" ht="15.75">
      <c r="A284" s="189" t="s">
        <v>138</v>
      </c>
      <c r="B284" s="31" t="s">
        <v>274</v>
      </c>
      <c r="C284" s="53" t="s">
        <v>160</v>
      </c>
      <c r="D284" s="102" t="s">
        <v>151</v>
      </c>
      <c r="E284" s="31" t="s">
        <v>420</v>
      </c>
      <c r="F284" s="30"/>
      <c r="G284" s="74" t="s">
        <v>68</v>
      </c>
      <c r="H284" s="32">
        <v>424.2</v>
      </c>
      <c r="I284" s="32">
        <v>424.2</v>
      </c>
    </row>
    <row r="285" spans="1:9" ht="15.75">
      <c r="A285" s="37" t="s">
        <v>11</v>
      </c>
      <c r="B285" s="35" t="s">
        <v>274</v>
      </c>
      <c r="C285" s="38" t="s">
        <v>160</v>
      </c>
      <c r="D285" s="89" t="s">
        <v>151</v>
      </c>
      <c r="E285" s="35" t="s">
        <v>34</v>
      </c>
      <c r="F285" s="34"/>
      <c r="G285" s="94" t="s">
        <v>44</v>
      </c>
      <c r="H285" s="36">
        <f>H286</f>
        <v>3534.7</v>
      </c>
      <c r="I285" s="36">
        <f>I286</f>
        <v>553.5</v>
      </c>
    </row>
    <row r="286" spans="1:9" ht="15.75">
      <c r="A286" s="145" t="s">
        <v>25</v>
      </c>
      <c r="B286" s="31" t="s">
        <v>274</v>
      </c>
      <c r="C286" s="53" t="s">
        <v>160</v>
      </c>
      <c r="D286" s="102" t="s">
        <v>151</v>
      </c>
      <c r="E286" s="31" t="s">
        <v>179</v>
      </c>
      <c r="F286" s="30"/>
      <c r="G286" s="74" t="s">
        <v>44</v>
      </c>
      <c r="H286" s="32">
        <f>H287+H288</f>
        <v>3534.7</v>
      </c>
      <c r="I286" s="32">
        <f>I287+I288</f>
        <v>553.5</v>
      </c>
    </row>
    <row r="287" spans="1:9" ht="15.75">
      <c r="A287" s="52" t="s">
        <v>138</v>
      </c>
      <c r="B287" s="31" t="s">
        <v>274</v>
      </c>
      <c r="C287" s="53" t="s">
        <v>160</v>
      </c>
      <c r="D287" s="102" t="s">
        <v>151</v>
      </c>
      <c r="E287" s="31" t="s">
        <v>179</v>
      </c>
      <c r="F287" s="30"/>
      <c r="G287" s="74" t="s">
        <v>68</v>
      </c>
      <c r="H287" s="32">
        <f>2860.7+117+3.5+490</f>
        <v>3471.2</v>
      </c>
      <c r="I287" s="52">
        <f>490</f>
        <v>490</v>
      </c>
    </row>
    <row r="288" spans="1:9" ht="43.5">
      <c r="A288" s="217" t="s">
        <v>423</v>
      </c>
      <c r="B288" s="31" t="s">
        <v>274</v>
      </c>
      <c r="C288" s="53" t="s">
        <v>160</v>
      </c>
      <c r="D288" s="102" t="s">
        <v>151</v>
      </c>
      <c r="E288" s="31" t="s">
        <v>422</v>
      </c>
      <c r="F288" s="30"/>
      <c r="G288" s="74" t="s">
        <v>44</v>
      </c>
      <c r="H288" s="32">
        <f>H289</f>
        <v>63.5</v>
      </c>
      <c r="I288" s="52">
        <f>I289</f>
        <v>63.5</v>
      </c>
    </row>
    <row r="289" spans="1:9" ht="15.75">
      <c r="A289" s="189" t="s">
        <v>138</v>
      </c>
      <c r="B289" s="31" t="s">
        <v>274</v>
      </c>
      <c r="C289" s="53" t="s">
        <v>160</v>
      </c>
      <c r="D289" s="102" t="s">
        <v>151</v>
      </c>
      <c r="E289" s="31" t="s">
        <v>422</v>
      </c>
      <c r="F289" s="30"/>
      <c r="G289" s="74" t="s">
        <v>68</v>
      </c>
      <c r="H289" s="32">
        <v>63.5</v>
      </c>
      <c r="I289" s="52">
        <v>63.5</v>
      </c>
    </row>
    <row r="290" spans="1:9" ht="15.75">
      <c r="A290" s="37" t="s">
        <v>12</v>
      </c>
      <c r="B290" s="35" t="s">
        <v>274</v>
      </c>
      <c r="C290" s="38" t="s">
        <v>160</v>
      </c>
      <c r="D290" s="89" t="s">
        <v>151</v>
      </c>
      <c r="E290" s="35" t="s">
        <v>35</v>
      </c>
      <c r="F290" s="34"/>
      <c r="G290" s="94" t="s">
        <v>44</v>
      </c>
      <c r="H290" s="36">
        <f>H294+H291</f>
        <v>9216.2</v>
      </c>
      <c r="I290" s="36">
        <f>I294+I291</f>
        <v>260</v>
      </c>
    </row>
    <row r="291" spans="1:9" ht="29.25">
      <c r="A291" s="143" t="s">
        <v>411</v>
      </c>
      <c r="B291" s="31" t="s">
        <v>274</v>
      </c>
      <c r="C291" s="53" t="s">
        <v>160</v>
      </c>
      <c r="D291" s="102" t="s">
        <v>151</v>
      </c>
      <c r="E291" s="31" t="s">
        <v>400</v>
      </c>
      <c r="F291" s="30"/>
      <c r="G291" s="74" t="s">
        <v>44</v>
      </c>
      <c r="H291" s="32">
        <f>H292</f>
        <v>142</v>
      </c>
      <c r="I291" s="32">
        <f>I292</f>
        <v>142</v>
      </c>
    </row>
    <row r="292" spans="1:9" ht="29.25">
      <c r="A292" s="169" t="s">
        <v>398</v>
      </c>
      <c r="B292" s="31" t="s">
        <v>274</v>
      </c>
      <c r="C292" s="53" t="s">
        <v>160</v>
      </c>
      <c r="D292" s="102" t="s">
        <v>151</v>
      </c>
      <c r="E292" s="31" t="s">
        <v>399</v>
      </c>
      <c r="F292" s="30"/>
      <c r="G292" s="74" t="s">
        <v>44</v>
      </c>
      <c r="H292" s="32">
        <f>H293</f>
        <v>142</v>
      </c>
      <c r="I292" s="32">
        <f>I293</f>
        <v>142</v>
      </c>
    </row>
    <row r="293" spans="1:9" ht="15.75">
      <c r="A293" s="52" t="s">
        <v>138</v>
      </c>
      <c r="B293" s="31" t="s">
        <v>274</v>
      </c>
      <c r="C293" s="53" t="s">
        <v>160</v>
      </c>
      <c r="D293" s="102" t="s">
        <v>151</v>
      </c>
      <c r="E293" s="31" t="s">
        <v>399</v>
      </c>
      <c r="F293" s="30"/>
      <c r="G293" s="74" t="s">
        <v>68</v>
      </c>
      <c r="H293" s="32">
        <v>142</v>
      </c>
      <c r="I293" s="32">
        <v>142</v>
      </c>
    </row>
    <row r="294" spans="1:9" ht="15.75">
      <c r="A294" s="145" t="s">
        <v>25</v>
      </c>
      <c r="B294" s="31" t="s">
        <v>274</v>
      </c>
      <c r="C294" s="53" t="s">
        <v>160</v>
      </c>
      <c r="D294" s="102" t="s">
        <v>151</v>
      </c>
      <c r="E294" s="31" t="s">
        <v>180</v>
      </c>
      <c r="F294" s="30"/>
      <c r="G294" s="74" t="s">
        <v>44</v>
      </c>
      <c r="H294" s="32">
        <f>H295+H296</f>
        <v>9074.2</v>
      </c>
      <c r="I294" s="32">
        <f>I295+I296</f>
        <v>118</v>
      </c>
    </row>
    <row r="295" spans="1:9" ht="15.75">
      <c r="A295" s="52" t="s">
        <v>138</v>
      </c>
      <c r="B295" s="31" t="s">
        <v>274</v>
      </c>
      <c r="C295" s="53" t="s">
        <v>160</v>
      </c>
      <c r="D295" s="102" t="s">
        <v>151</v>
      </c>
      <c r="E295" s="31" t="s">
        <v>180</v>
      </c>
      <c r="F295" s="30"/>
      <c r="G295" s="74" t="s">
        <v>68</v>
      </c>
      <c r="H295" s="32">
        <f>8636+288+32.2</f>
        <v>8956.2</v>
      </c>
      <c r="I295" s="32">
        <f>252-252</f>
        <v>0</v>
      </c>
    </row>
    <row r="296" spans="1:9" ht="43.5">
      <c r="A296" s="217" t="s">
        <v>421</v>
      </c>
      <c r="B296" s="31" t="s">
        <v>274</v>
      </c>
      <c r="C296" s="53" t="s">
        <v>160</v>
      </c>
      <c r="D296" s="102" t="s">
        <v>151</v>
      </c>
      <c r="E296" s="31" t="s">
        <v>425</v>
      </c>
      <c r="F296" s="30"/>
      <c r="G296" s="74" t="s">
        <v>44</v>
      </c>
      <c r="H296" s="32">
        <f>H297</f>
        <v>118</v>
      </c>
      <c r="I296" s="32">
        <f>I297</f>
        <v>118</v>
      </c>
    </row>
    <row r="297" spans="1:9" ht="15.75">
      <c r="A297" s="189" t="s">
        <v>138</v>
      </c>
      <c r="B297" s="31" t="s">
        <v>274</v>
      </c>
      <c r="C297" s="53" t="s">
        <v>160</v>
      </c>
      <c r="D297" s="102" t="s">
        <v>151</v>
      </c>
      <c r="E297" s="31" t="s">
        <v>425</v>
      </c>
      <c r="F297" s="30"/>
      <c r="G297" s="74" t="s">
        <v>68</v>
      </c>
      <c r="H297" s="32">
        <v>118</v>
      </c>
      <c r="I297" s="32">
        <v>118</v>
      </c>
    </row>
    <row r="298" spans="1:9" ht="30">
      <c r="A298" s="33" t="s">
        <v>88</v>
      </c>
      <c r="B298" s="35" t="s">
        <v>274</v>
      </c>
      <c r="C298" s="38" t="s">
        <v>160</v>
      </c>
      <c r="D298" s="89" t="s">
        <v>151</v>
      </c>
      <c r="E298" s="35" t="s">
        <v>36</v>
      </c>
      <c r="F298" s="34"/>
      <c r="G298" s="94" t="s">
        <v>44</v>
      </c>
      <c r="H298" s="36">
        <f>H299</f>
        <v>12638.7</v>
      </c>
      <c r="I298" s="36">
        <f>I299</f>
        <v>173.7</v>
      </c>
    </row>
    <row r="299" spans="1:9" ht="15.75">
      <c r="A299" s="145" t="s">
        <v>25</v>
      </c>
      <c r="B299" s="31" t="s">
        <v>274</v>
      </c>
      <c r="C299" s="53" t="s">
        <v>160</v>
      </c>
      <c r="D299" s="102" t="s">
        <v>151</v>
      </c>
      <c r="E299" s="31" t="s">
        <v>181</v>
      </c>
      <c r="F299" s="30"/>
      <c r="G299" s="74" t="s">
        <v>44</v>
      </c>
      <c r="H299" s="32">
        <f>H300+H301</f>
        <v>12638.7</v>
      </c>
      <c r="I299" s="32">
        <f>I300+I301</f>
        <v>173.7</v>
      </c>
    </row>
    <row r="300" spans="1:9" ht="15.75">
      <c r="A300" s="52" t="s">
        <v>138</v>
      </c>
      <c r="B300" s="31" t="s">
        <v>274</v>
      </c>
      <c r="C300" s="53" t="s">
        <v>160</v>
      </c>
      <c r="D300" s="102" t="s">
        <v>151</v>
      </c>
      <c r="E300" s="31" t="s">
        <v>181</v>
      </c>
      <c r="F300" s="30"/>
      <c r="G300" s="74" t="s">
        <v>68</v>
      </c>
      <c r="H300" s="32">
        <f>10168.3+57+2239.7+50</f>
        <v>12515</v>
      </c>
      <c r="I300" s="32">
        <f>50</f>
        <v>50</v>
      </c>
    </row>
    <row r="301" spans="1:9" ht="57.75">
      <c r="A301" s="217" t="s">
        <v>439</v>
      </c>
      <c r="B301" s="31" t="s">
        <v>274</v>
      </c>
      <c r="C301" s="53" t="s">
        <v>160</v>
      </c>
      <c r="D301" s="102" t="s">
        <v>151</v>
      </c>
      <c r="E301" s="31" t="s">
        <v>424</v>
      </c>
      <c r="F301" s="30"/>
      <c r="G301" s="74" t="s">
        <v>44</v>
      </c>
      <c r="H301" s="32">
        <f>H302</f>
        <v>123.7</v>
      </c>
      <c r="I301" s="32">
        <f>I302</f>
        <v>123.7</v>
      </c>
    </row>
    <row r="302" spans="1:9" ht="15.75">
      <c r="A302" s="189" t="s">
        <v>138</v>
      </c>
      <c r="B302" s="31" t="s">
        <v>274</v>
      </c>
      <c r="C302" s="53" t="s">
        <v>160</v>
      </c>
      <c r="D302" s="102" t="s">
        <v>151</v>
      </c>
      <c r="E302" s="31" t="s">
        <v>424</v>
      </c>
      <c r="F302" s="30"/>
      <c r="G302" s="74" t="s">
        <v>68</v>
      </c>
      <c r="H302" s="32">
        <v>123.7</v>
      </c>
      <c r="I302" s="32">
        <v>123.7</v>
      </c>
    </row>
    <row r="303" spans="1:9" ht="15.75">
      <c r="A303" s="37" t="s">
        <v>100</v>
      </c>
      <c r="B303" s="35" t="s">
        <v>274</v>
      </c>
      <c r="C303" s="38" t="s">
        <v>160</v>
      </c>
      <c r="D303" s="89" t="s">
        <v>151</v>
      </c>
      <c r="E303" s="35" t="s">
        <v>101</v>
      </c>
      <c r="F303" s="34"/>
      <c r="G303" s="94" t="s">
        <v>44</v>
      </c>
      <c r="H303" s="36">
        <f>H304</f>
        <v>1500</v>
      </c>
      <c r="I303" s="36">
        <f>I304</f>
        <v>0</v>
      </c>
    </row>
    <row r="304" spans="1:9" ht="29.25">
      <c r="A304" s="142" t="s">
        <v>295</v>
      </c>
      <c r="B304" s="31" t="s">
        <v>274</v>
      </c>
      <c r="C304" s="39" t="s">
        <v>160</v>
      </c>
      <c r="D304" s="98" t="s">
        <v>151</v>
      </c>
      <c r="E304" s="40" t="s">
        <v>296</v>
      </c>
      <c r="F304" s="39"/>
      <c r="G304" s="74" t="s">
        <v>44</v>
      </c>
      <c r="H304" s="32">
        <f>H305</f>
        <v>1500</v>
      </c>
      <c r="I304" s="32">
        <f>I305</f>
        <v>0</v>
      </c>
    </row>
    <row r="305" spans="1:9" ht="15.75">
      <c r="A305" s="52" t="s">
        <v>138</v>
      </c>
      <c r="B305" s="31" t="s">
        <v>274</v>
      </c>
      <c r="C305" s="30" t="s">
        <v>160</v>
      </c>
      <c r="D305" s="92" t="s">
        <v>151</v>
      </c>
      <c r="E305" s="31" t="s">
        <v>296</v>
      </c>
      <c r="F305" s="30"/>
      <c r="G305" s="74" t="s">
        <v>68</v>
      </c>
      <c r="H305" s="32">
        <f>1200+300</f>
        <v>1500</v>
      </c>
      <c r="I305" s="52"/>
    </row>
    <row r="306" spans="1:9" ht="15.75">
      <c r="A306" s="37" t="s">
        <v>351</v>
      </c>
      <c r="B306" s="35" t="s">
        <v>274</v>
      </c>
      <c r="C306" s="34" t="s">
        <v>160</v>
      </c>
      <c r="D306" s="93" t="s">
        <v>153</v>
      </c>
      <c r="E306" s="35" t="s">
        <v>42</v>
      </c>
      <c r="F306" s="38"/>
      <c r="G306" s="94" t="s">
        <v>44</v>
      </c>
      <c r="H306" s="36">
        <f aca="true" t="shared" si="10" ref="H306:I309">H307</f>
        <v>197</v>
      </c>
      <c r="I306" s="36">
        <f t="shared" si="10"/>
        <v>197</v>
      </c>
    </row>
    <row r="307" spans="1:9" ht="29.25">
      <c r="A307" s="142" t="s">
        <v>92</v>
      </c>
      <c r="B307" s="31" t="s">
        <v>274</v>
      </c>
      <c r="C307" s="30" t="s">
        <v>160</v>
      </c>
      <c r="D307" s="92" t="s">
        <v>153</v>
      </c>
      <c r="E307" s="31" t="s">
        <v>33</v>
      </c>
      <c r="F307" s="53"/>
      <c r="G307" s="74" t="s">
        <v>44</v>
      </c>
      <c r="H307" s="36">
        <f t="shared" si="10"/>
        <v>197</v>
      </c>
      <c r="I307" s="36">
        <f t="shared" si="10"/>
        <v>197</v>
      </c>
    </row>
    <row r="308" spans="1:9" ht="29.25">
      <c r="A308" s="143" t="s">
        <v>314</v>
      </c>
      <c r="B308" s="31" t="s">
        <v>274</v>
      </c>
      <c r="C308" s="30" t="s">
        <v>160</v>
      </c>
      <c r="D308" s="92" t="s">
        <v>153</v>
      </c>
      <c r="E308" s="31" t="s">
        <v>321</v>
      </c>
      <c r="F308" s="30"/>
      <c r="G308" s="74" t="s">
        <v>44</v>
      </c>
      <c r="H308" s="32">
        <f t="shared" si="10"/>
        <v>197</v>
      </c>
      <c r="I308" s="32">
        <f t="shared" si="10"/>
        <v>197</v>
      </c>
    </row>
    <row r="309" spans="1:9" ht="15.75">
      <c r="A309" s="144" t="s">
        <v>322</v>
      </c>
      <c r="B309" s="31" t="s">
        <v>274</v>
      </c>
      <c r="C309" s="30" t="s">
        <v>160</v>
      </c>
      <c r="D309" s="92" t="s">
        <v>153</v>
      </c>
      <c r="E309" s="31" t="s">
        <v>323</v>
      </c>
      <c r="F309" s="30"/>
      <c r="G309" s="74" t="s">
        <v>44</v>
      </c>
      <c r="H309" s="32">
        <f t="shared" si="10"/>
        <v>197</v>
      </c>
      <c r="I309" s="32">
        <f t="shared" si="10"/>
        <v>197</v>
      </c>
    </row>
    <row r="310" spans="1:9" ht="15.75">
      <c r="A310" s="52" t="s">
        <v>138</v>
      </c>
      <c r="B310" s="31" t="s">
        <v>274</v>
      </c>
      <c r="C310" s="30" t="s">
        <v>160</v>
      </c>
      <c r="D310" s="92" t="s">
        <v>153</v>
      </c>
      <c r="E310" s="31" t="s">
        <v>323</v>
      </c>
      <c r="F310" s="30"/>
      <c r="G310" s="74" t="s">
        <v>68</v>
      </c>
      <c r="H310" s="32">
        <v>197</v>
      </c>
      <c r="I310" s="32">
        <v>197</v>
      </c>
    </row>
    <row r="311" spans="1:9" ht="15.75">
      <c r="A311" s="37" t="s">
        <v>184</v>
      </c>
      <c r="B311" s="35" t="s">
        <v>274</v>
      </c>
      <c r="C311" s="34" t="s">
        <v>266</v>
      </c>
      <c r="D311" s="93" t="s">
        <v>96</v>
      </c>
      <c r="E311" s="35" t="s">
        <v>42</v>
      </c>
      <c r="F311" s="34"/>
      <c r="G311" s="94" t="s">
        <v>44</v>
      </c>
      <c r="H311" s="36">
        <f>H312</f>
        <v>13875.5</v>
      </c>
      <c r="I311" s="36">
        <f>I312</f>
        <v>118.8</v>
      </c>
    </row>
    <row r="312" spans="1:9" ht="15.75">
      <c r="A312" s="166" t="s">
        <v>267</v>
      </c>
      <c r="B312" s="64" t="s">
        <v>274</v>
      </c>
      <c r="C312" s="38" t="s">
        <v>266</v>
      </c>
      <c r="D312" s="89" t="s">
        <v>151</v>
      </c>
      <c r="E312" s="35" t="s">
        <v>42</v>
      </c>
      <c r="F312" s="38"/>
      <c r="G312" s="94" t="s">
        <v>44</v>
      </c>
      <c r="H312" s="66">
        <f>H313+H318</f>
        <v>13875.5</v>
      </c>
      <c r="I312" s="66">
        <f>I313+I318</f>
        <v>118.8</v>
      </c>
    </row>
    <row r="313" spans="1:9" ht="15.75">
      <c r="A313" s="52" t="s">
        <v>60</v>
      </c>
      <c r="B313" s="31" t="s">
        <v>274</v>
      </c>
      <c r="C313" s="30" t="s">
        <v>266</v>
      </c>
      <c r="D313" s="92" t="s">
        <v>151</v>
      </c>
      <c r="E313" s="31" t="s">
        <v>61</v>
      </c>
      <c r="F313" s="30"/>
      <c r="G313" s="74" t="s">
        <v>44</v>
      </c>
      <c r="H313" s="32">
        <f>H314</f>
        <v>12575.5</v>
      </c>
      <c r="I313" s="32">
        <f>I314</f>
        <v>118.8</v>
      </c>
    </row>
    <row r="314" spans="1:9" ht="15.75">
      <c r="A314" s="145" t="s">
        <v>25</v>
      </c>
      <c r="B314" s="31" t="s">
        <v>274</v>
      </c>
      <c r="C314" s="30" t="s">
        <v>266</v>
      </c>
      <c r="D314" s="92" t="s">
        <v>151</v>
      </c>
      <c r="E314" s="31" t="s">
        <v>185</v>
      </c>
      <c r="F314" s="30"/>
      <c r="G314" s="74" t="s">
        <v>44</v>
      </c>
      <c r="H314" s="32">
        <f>H315+H316</f>
        <v>12575.5</v>
      </c>
      <c r="I314" s="32">
        <f>I315+I316</f>
        <v>118.8</v>
      </c>
    </row>
    <row r="315" spans="1:9" ht="15.75">
      <c r="A315" s="52" t="s">
        <v>138</v>
      </c>
      <c r="B315" s="31" t="s">
        <v>274</v>
      </c>
      <c r="C315" s="30" t="s">
        <v>266</v>
      </c>
      <c r="D315" s="92" t="s">
        <v>151</v>
      </c>
      <c r="E315" s="31" t="s">
        <v>185</v>
      </c>
      <c r="F315" s="30"/>
      <c r="G315" s="74" t="s">
        <v>68</v>
      </c>
      <c r="H315" s="32">
        <f>8800+2450+21.7+1200-15</f>
        <v>12456.7</v>
      </c>
      <c r="I315" s="52"/>
    </row>
    <row r="316" spans="1:9" ht="57.75">
      <c r="A316" s="217" t="s">
        <v>426</v>
      </c>
      <c r="B316" s="31" t="s">
        <v>274</v>
      </c>
      <c r="C316" s="30" t="s">
        <v>266</v>
      </c>
      <c r="D316" s="92" t="s">
        <v>151</v>
      </c>
      <c r="E316" s="31" t="s">
        <v>427</v>
      </c>
      <c r="F316" s="30"/>
      <c r="G316" s="74" t="s">
        <v>44</v>
      </c>
      <c r="H316" s="32">
        <f>H317</f>
        <v>118.8</v>
      </c>
      <c r="I316" s="32">
        <f>I317</f>
        <v>118.8</v>
      </c>
    </row>
    <row r="317" spans="1:9" ht="15.75">
      <c r="A317" s="189" t="s">
        <v>138</v>
      </c>
      <c r="B317" s="31" t="s">
        <v>274</v>
      </c>
      <c r="C317" s="30" t="s">
        <v>266</v>
      </c>
      <c r="D317" s="92" t="s">
        <v>151</v>
      </c>
      <c r="E317" s="31" t="s">
        <v>427</v>
      </c>
      <c r="F317" s="30"/>
      <c r="G317" s="74" t="s">
        <v>68</v>
      </c>
      <c r="H317" s="32">
        <v>118.8</v>
      </c>
      <c r="I317" s="52">
        <v>118.8</v>
      </c>
    </row>
    <row r="318" spans="1:9" ht="15.75">
      <c r="A318" s="52" t="s">
        <v>100</v>
      </c>
      <c r="B318" s="31" t="s">
        <v>274</v>
      </c>
      <c r="C318" s="30" t="s">
        <v>266</v>
      </c>
      <c r="D318" s="92" t="s">
        <v>151</v>
      </c>
      <c r="E318" s="31" t="s">
        <v>101</v>
      </c>
      <c r="F318" s="30"/>
      <c r="G318" s="74" t="s">
        <v>44</v>
      </c>
      <c r="H318" s="32">
        <f>H319</f>
        <v>1300</v>
      </c>
      <c r="I318" s="32">
        <f>I319</f>
        <v>0</v>
      </c>
    </row>
    <row r="319" spans="1:9" ht="29.25">
      <c r="A319" s="142" t="s">
        <v>310</v>
      </c>
      <c r="B319" s="31" t="s">
        <v>274</v>
      </c>
      <c r="C319" s="30" t="s">
        <v>266</v>
      </c>
      <c r="D319" s="92" t="s">
        <v>151</v>
      </c>
      <c r="E319" s="31" t="s">
        <v>194</v>
      </c>
      <c r="F319" s="30"/>
      <c r="G319" s="74" t="s">
        <v>44</v>
      </c>
      <c r="H319" s="32">
        <f>H320</f>
        <v>1300</v>
      </c>
      <c r="I319" s="32">
        <f>I320</f>
        <v>0</v>
      </c>
    </row>
    <row r="320" spans="1:9" ht="16.5" thickBot="1">
      <c r="A320" s="52" t="s">
        <v>138</v>
      </c>
      <c r="B320" s="43" t="s">
        <v>274</v>
      </c>
      <c r="C320" s="39" t="s">
        <v>266</v>
      </c>
      <c r="D320" s="108" t="s">
        <v>151</v>
      </c>
      <c r="E320" s="43" t="s">
        <v>194</v>
      </c>
      <c r="F320" s="39"/>
      <c r="G320" s="115" t="s">
        <v>68</v>
      </c>
      <c r="H320" s="44">
        <f>1000+2379.5-2079.5</f>
        <v>1300</v>
      </c>
      <c r="I320" s="238"/>
    </row>
    <row r="321" spans="1:9" ht="54" customHeight="1" thickBot="1">
      <c r="A321" s="171" t="s">
        <v>320</v>
      </c>
      <c r="B321" s="24" t="s">
        <v>275</v>
      </c>
      <c r="C321" s="87" t="s">
        <v>96</v>
      </c>
      <c r="D321" s="24" t="s">
        <v>96</v>
      </c>
      <c r="E321" s="251" t="s">
        <v>42</v>
      </c>
      <c r="F321" s="22"/>
      <c r="G321" s="111" t="s">
        <v>44</v>
      </c>
      <c r="H321" s="252">
        <f>H322+H364</f>
        <v>852578.2999999999</v>
      </c>
      <c r="I321" s="25">
        <f>I322</f>
        <v>213659</v>
      </c>
    </row>
    <row r="322" spans="1:9" ht="15.75">
      <c r="A322" s="166" t="s">
        <v>269</v>
      </c>
      <c r="B322" s="64" t="s">
        <v>275</v>
      </c>
      <c r="C322" s="64" t="s">
        <v>157</v>
      </c>
      <c r="D322" s="89" t="s">
        <v>96</v>
      </c>
      <c r="E322" s="28" t="s">
        <v>42</v>
      </c>
      <c r="F322" s="38"/>
      <c r="G322" s="104" t="s">
        <v>44</v>
      </c>
      <c r="H322" s="253">
        <f>H323+H332+H338+H342+H351</f>
        <v>850778.2999999999</v>
      </c>
      <c r="I322" s="66">
        <f>I323+I332+I338+I342+I351</f>
        <v>213659</v>
      </c>
    </row>
    <row r="323" spans="1:9" ht="18" customHeight="1">
      <c r="A323" s="166" t="s">
        <v>182</v>
      </c>
      <c r="B323" s="64" t="s">
        <v>275</v>
      </c>
      <c r="C323" s="64" t="s">
        <v>157</v>
      </c>
      <c r="D323" s="89" t="s">
        <v>151</v>
      </c>
      <c r="E323" s="64" t="s">
        <v>42</v>
      </c>
      <c r="F323" s="38"/>
      <c r="G323" s="104" t="s">
        <v>44</v>
      </c>
      <c r="H323" s="253">
        <f>H324+H329</f>
        <v>218003.59999999998</v>
      </c>
      <c r="I323" s="66">
        <f>I324+I329</f>
        <v>2559.4</v>
      </c>
    </row>
    <row r="324" spans="1:9" ht="18" customHeight="1">
      <c r="A324" s="52" t="s">
        <v>259</v>
      </c>
      <c r="B324" s="54" t="s">
        <v>275</v>
      </c>
      <c r="C324" s="54" t="s">
        <v>157</v>
      </c>
      <c r="D324" s="92" t="s">
        <v>151</v>
      </c>
      <c r="E324" s="31" t="s">
        <v>38</v>
      </c>
      <c r="F324" s="30"/>
      <c r="G324" s="74" t="s">
        <v>44</v>
      </c>
      <c r="H324" s="148">
        <f>H325</f>
        <v>194459.59999999998</v>
      </c>
      <c r="I324" s="32">
        <f>I325</f>
        <v>2559.4</v>
      </c>
    </row>
    <row r="325" spans="1:9" ht="15.75">
      <c r="A325" s="145" t="s">
        <v>25</v>
      </c>
      <c r="B325" s="54" t="s">
        <v>275</v>
      </c>
      <c r="C325" s="54" t="s">
        <v>157</v>
      </c>
      <c r="D325" s="92" t="s">
        <v>151</v>
      </c>
      <c r="E325" s="31" t="s">
        <v>183</v>
      </c>
      <c r="F325" s="30"/>
      <c r="G325" s="74" t="s">
        <v>44</v>
      </c>
      <c r="H325" s="148">
        <f>H326+H327</f>
        <v>194459.59999999998</v>
      </c>
      <c r="I325" s="32">
        <f>I326+I327</f>
        <v>2559.4</v>
      </c>
    </row>
    <row r="326" spans="1:9" ht="15.75">
      <c r="A326" s="145" t="s">
        <v>138</v>
      </c>
      <c r="B326" s="54" t="s">
        <v>275</v>
      </c>
      <c r="C326" s="54" t="s">
        <v>157</v>
      </c>
      <c r="D326" s="92" t="s">
        <v>151</v>
      </c>
      <c r="E326" s="31" t="s">
        <v>183</v>
      </c>
      <c r="F326" s="30"/>
      <c r="G326" s="103" t="s">
        <v>68</v>
      </c>
      <c r="H326" s="148">
        <f>163348.4-638+4300+5315+638+2677.4+123.5+1000-150+1249.4+18200-1249.4-178-18200-326.1+17100</f>
        <v>193210.19999999998</v>
      </c>
      <c r="I326" s="32">
        <f>638+1000-150+1249.4+18200-1249.4-178-18200</f>
        <v>1310</v>
      </c>
    </row>
    <row r="327" spans="1:9" ht="57.75">
      <c r="A327" s="217" t="s">
        <v>428</v>
      </c>
      <c r="B327" s="54" t="s">
        <v>275</v>
      </c>
      <c r="C327" s="54" t="s">
        <v>157</v>
      </c>
      <c r="D327" s="92" t="s">
        <v>151</v>
      </c>
      <c r="E327" s="31" t="s">
        <v>429</v>
      </c>
      <c r="F327" s="30"/>
      <c r="G327" s="103" t="s">
        <v>44</v>
      </c>
      <c r="H327" s="148">
        <f>H328</f>
        <v>1249.4</v>
      </c>
      <c r="I327" s="32">
        <f>I328</f>
        <v>1249.4</v>
      </c>
    </row>
    <row r="328" spans="1:9" ht="15.75">
      <c r="A328" s="189" t="s">
        <v>138</v>
      </c>
      <c r="B328" s="54" t="s">
        <v>275</v>
      </c>
      <c r="C328" s="54" t="s">
        <v>157</v>
      </c>
      <c r="D328" s="92" t="s">
        <v>151</v>
      </c>
      <c r="E328" s="31" t="s">
        <v>429</v>
      </c>
      <c r="F328" s="30"/>
      <c r="G328" s="103" t="s">
        <v>68</v>
      </c>
      <c r="H328" s="148">
        <v>1249.4</v>
      </c>
      <c r="I328" s="32">
        <v>1249.4</v>
      </c>
    </row>
    <row r="329" spans="1:9" ht="15.75">
      <c r="A329" s="145" t="s">
        <v>227</v>
      </c>
      <c r="B329" s="54" t="s">
        <v>275</v>
      </c>
      <c r="C329" s="54" t="s">
        <v>157</v>
      </c>
      <c r="D329" s="92" t="s">
        <v>151</v>
      </c>
      <c r="E329" s="31" t="s">
        <v>228</v>
      </c>
      <c r="F329" s="30"/>
      <c r="G329" s="74" t="s">
        <v>44</v>
      </c>
      <c r="H329" s="148">
        <f>H330</f>
        <v>23544</v>
      </c>
      <c r="I329" s="32">
        <f>I330</f>
        <v>0</v>
      </c>
    </row>
    <row r="330" spans="1:9" ht="15.75">
      <c r="A330" s="145" t="s">
        <v>25</v>
      </c>
      <c r="B330" s="54" t="s">
        <v>275</v>
      </c>
      <c r="C330" s="54" t="s">
        <v>157</v>
      </c>
      <c r="D330" s="92" t="s">
        <v>151</v>
      </c>
      <c r="E330" s="31" t="s">
        <v>229</v>
      </c>
      <c r="F330" s="30"/>
      <c r="G330" s="74" t="s">
        <v>44</v>
      </c>
      <c r="H330" s="148">
        <f>H331</f>
        <v>23544</v>
      </c>
      <c r="I330" s="32">
        <f>I331</f>
        <v>0</v>
      </c>
    </row>
    <row r="331" spans="1:9" ht="15.75">
      <c r="A331" s="145" t="s">
        <v>138</v>
      </c>
      <c r="B331" s="54" t="s">
        <v>275</v>
      </c>
      <c r="C331" s="54" t="s">
        <v>157</v>
      </c>
      <c r="D331" s="92" t="s">
        <v>151</v>
      </c>
      <c r="E331" s="31" t="s">
        <v>229</v>
      </c>
      <c r="F331" s="30"/>
      <c r="G331" s="103" t="s">
        <v>68</v>
      </c>
      <c r="H331" s="148">
        <f>23733.3+456.9-646.2</f>
        <v>23544</v>
      </c>
      <c r="I331" s="32"/>
    </row>
    <row r="332" spans="1:9" ht="15.75">
      <c r="A332" s="165" t="s">
        <v>230</v>
      </c>
      <c r="B332" s="64" t="s">
        <v>275</v>
      </c>
      <c r="C332" s="64" t="s">
        <v>157</v>
      </c>
      <c r="D332" s="93" t="s">
        <v>152</v>
      </c>
      <c r="E332" s="35" t="s">
        <v>42</v>
      </c>
      <c r="F332" s="34"/>
      <c r="G332" s="94" t="s">
        <v>44</v>
      </c>
      <c r="H332" s="254">
        <f>H333</f>
        <v>319920.5</v>
      </c>
      <c r="I332" s="36">
        <f>I333</f>
        <v>8945.3</v>
      </c>
    </row>
    <row r="333" spans="1:9" ht="15.75">
      <c r="A333" s="145" t="s">
        <v>231</v>
      </c>
      <c r="B333" s="54" t="s">
        <v>275</v>
      </c>
      <c r="C333" s="54" t="s">
        <v>157</v>
      </c>
      <c r="D333" s="92" t="s">
        <v>152</v>
      </c>
      <c r="E333" s="31" t="s">
        <v>232</v>
      </c>
      <c r="F333" s="30"/>
      <c r="G333" s="74" t="s">
        <v>44</v>
      </c>
      <c r="H333" s="148">
        <f>H334</f>
        <v>319920.5</v>
      </c>
      <c r="I333" s="32">
        <f>I334</f>
        <v>8945.3</v>
      </c>
    </row>
    <row r="334" spans="1:9" ht="15.75">
      <c r="A334" s="145" t="s">
        <v>25</v>
      </c>
      <c r="B334" s="54" t="s">
        <v>275</v>
      </c>
      <c r="C334" s="54" t="s">
        <v>157</v>
      </c>
      <c r="D334" s="92" t="s">
        <v>152</v>
      </c>
      <c r="E334" s="31" t="s">
        <v>233</v>
      </c>
      <c r="F334" s="30"/>
      <c r="G334" s="74" t="s">
        <v>44</v>
      </c>
      <c r="H334" s="148">
        <f>H335+H336</f>
        <v>319920.5</v>
      </c>
      <c r="I334" s="32">
        <f>I335+I336</f>
        <v>8945.3</v>
      </c>
    </row>
    <row r="335" spans="1:9" ht="15.75">
      <c r="A335" s="145" t="s">
        <v>138</v>
      </c>
      <c r="B335" s="54" t="s">
        <v>275</v>
      </c>
      <c r="C335" s="54" t="s">
        <v>157</v>
      </c>
      <c r="D335" s="92" t="s">
        <v>152</v>
      </c>
      <c r="E335" s="31" t="s">
        <v>233</v>
      </c>
      <c r="F335" s="30"/>
      <c r="G335" s="103" t="s">
        <v>68</v>
      </c>
      <c r="H335" s="148">
        <f>292088.6-8065+4060+4510+7755-3394.1+2142.9+150+448.3-448.3+592-767.2+20400</f>
        <v>319472.2</v>
      </c>
      <c r="I335" s="32">
        <f>7755+150+448.3-448.3+592</f>
        <v>8497</v>
      </c>
    </row>
    <row r="336" spans="1:9" ht="57.75">
      <c r="A336" s="217" t="s">
        <v>430</v>
      </c>
      <c r="B336" s="54" t="s">
        <v>275</v>
      </c>
      <c r="C336" s="54" t="s">
        <v>157</v>
      </c>
      <c r="D336" s="92" t="s">
        <v>152</v>
      </c>
      <c r="E336" s="31" t="s">
        <v>431</v>
      </c>
      <c r="F336" s="30"/>
      <c r="G336" s="103" t="s">
        <v>44</v>
      </c>
      <c r="H336" s="148">
        <f>H337</f>
        <v>448.3</v>
      </c>
      <c r="I336" s="32">
        <f>I337</f>
        <v>448.3</v>
      </c>
    </row>
    <row r="337" spans="1:9" ht="15.75">
      <c r="A337" s="189" t="s">
        <v>138</v>
      </c>
      <c r="B337" s="54" t="s">
        <v>275</v>
      </c>
      <c r="C337" s="54" t="s">
        <v>157</v>
      </c>
      <c r="D337" s="92" t="s">
        <v>152</v>
      </c>
      <c r="E337" s="31" t="s">
        <v>431</v>
      </c>
      <c r="F337" s="30"/>
      <c r="G337" s="103" t="s">
        <v>68</v>
      </c>
      <c r="H337" s="148">
        <f>448.3</f>
        <v>448.3</v>
      </c>
      <c r="I337" s="32">
        <v>448.3</v>
      </c>
    </row>
    <row r="338" spans="1:9" ht="15.75">
      <c r="A338" s="165" t="s">
        <v>234</v>
      </c>
      <c r="B338" s="64" t="s">
        <v>275</v>
      </c>
      <c r="C338" s="64" t="s">
        <v>157</v>
      </c>
      <c r="D338" s="93" t="s">
        <v>156</v>
      </c>
      <c r="E338" s="35" t="s">
        <v>42</v>
      </c>
      <c r="F338" s="34"/>
      <c r="G338" s="94" t="s">
        <v>44</v>
      </c>
      <c r="H338" s="254">
        <f aca="true" t="shared" si="11" ref="H338:I340">H339</f>
        <v>4477.6</v>
      </c>
      <c r="I338" s="36">
        <f t="shared" si="11"/>
        <v>0</v>
      </c>
    </row>
    <row r="339" spans="1:9" ht="15.75">
      <c r="A339" s="52" t="s">
        <v>259</v>
      </c>
      <c r="B339" s="54" t="s">
        <v>275</v>
      </c>
      <c r="C339" s="54" t="s">
        <v>157</v>
      </c>
      <c r="D339" s="92" t="s">
        <v>156</v>
      </c>
      <c r="E339" s="31" t="s">
        <v>38</v>
      </c>
      <c r="F339" s="30"/>
      <c r="G339" s="74" t="s">
        <v>44</v>
      </c>
      <c r="H339" s="148">
        <f t="shared" si="11"/>
        <v>4477.6</v>
      </c>
      <c r="I339" s="32">
        <f t="shared" si="11"/>
        <v>0</v>
      </c>
    </row>
    <row r="340" spans="1:9" ht="15.75">
      <c r="A340" s="145" t="s">
        <v>25</v>
      </c>
      <c r="B340" s="54" t="s">
        <v>275</v>
      </c>
      <c r="C340" s="54" t="s">
        <v>157</v>
      </c>
      <c r="D340" s="92" t="s">
        <v>156</v>
      </c>
      <c r="E340" s="31" t="s">
        <v>183</v>
      </c>
      <c r="F340" s="30"/>
      <c r="G340" s="74" t="s">
        <v>44</v>
      </c>
      <c r="H340" s="148">
        <f t="shared" si="11"/>
        <v>4477.6</v>
      </c>
      <c r="I340" s="32">
        <f t="shared" si="11"/>
        <v>0</v>
      </c>
    </row>
    <row r="341" spans="1:9" ht="15.75">
      <c r="A341" s="145" t="s">
        <v>138</v>
      </c>
      <c r="B341" s="54" t="s">
        <v>275</v>
      </c>
      <c r="C341" s="54" t="s">
        <v>157</v>
      </c>
      <c r="D341" s="92" t="s">
        <v>156</v>
      </c>
      <c r="E341" s="31" t="s">
        <v>183</v>
      </c>
      <c r="F341" s="30"/>
      <c r="G341" s="103" t="s">
        <v>68</v>
      </c>
      <c r="H341" s="148">
        <f>4496-2.5-15.9</f>
        <v>4477.6</v>
      </c>
      <c r="I341" s="32"/>
    </row>
    <row r="342" spans="1:9" ht="15.75">
      <c r="A342" s="165" t="s">
        <v>235</v>
      </c>
      <c r="B342" s="64" t="s">
        <v>275</v>
      </c>
      <c r="C342" s="64" t="s">
        <v>157</v>
      </c>
      <c r="D342" s="93" t="s">
        <v>153</v>
      </c>
      <c r="E342" s="35" t="s">
        <v>42</v>
      </c>
      <c r="F342" s="34"/>
      <c r="G342" s="94" t="s">
        <v>44</v>
      </c>
      <c r="H342" s="254">
        <f>H343+H348</f>
        <v>52045.600000000006</v>
      </c>
      <c r="I342" s="36">
        <f>I343+I348</f>
        <v>4191.3</v>
      </c>
    </row>
    <row r="343" spans="1:9" ht="15.75">
      <c r="A343" s="145" t="s">
        <v>236</v>
      </c>
      <c r="B343" s="54" t="s">
        <v>275</v>
      </c>
      <c r="C343" s="54" t="s">
        <v>157</v>
      </c>
      <c r="D343" s="92" t="s">
        <v>153</v>
      </c>
      <c r="E343" s="31" t="s">
        <v>237</v>
      </c>
      <c r="F343" s="30"/>
      <c r="G343" s="74" t="s">
        <v>44</v>
      </c>
      <c r="H343" s="148">
        <f>H344</f>
        <v>49436.600000000006</v>
      </c>
      <c r="I343" s="32">
        <f>I344</f>
        <v>1582.3</v>
      </c>
    </row>
    <row r="344" spans="1:9" ht="15.75">
      <c r="A344" s="145" t="s">
        <v>25</v>
      </c>
      <c r="B344" s="54" t="s">
        <v>275</v>
      </c>
      <c r="C344" s="54" t="s">
        <v>157</v>
      </c>
      <c r="D344" s="92" t="s">
        <v>153</v>
      </c>
      <c r="E344" s="31" t="s">
        <v>238</v>
      </c>
      <c r="F344" s="30"/>
      <c r="G344" s="74" t="s">
        <v>44</v>
      </c>
      <c r="H344" s="148">
        <f>H345+H346</f>
        <v>49436.600000000006</v>
      </c>
      <c r="I344" s="32">
        <f>I345+I346</f>
        <v>1582.3</v>
      </c>
    </row>
    <row r="345" spans="1:9" ht="15.75">
      <c r="A345" s="145" t="s">
        <v>138</v>
      </c>
      <c r="B345" s="54" t="s">
        <v>275</v>
      </c>
      <c r="C345" s="54" t="s">
        <v>157</v>
      </c>
      <c r="D345" s="92" t="s">
        <v>153</v>
      </c>
      <c r="E345" s="31" t="s">
        <v>238</v>
      </c>
      <c r="F345" s="30"/>
      <c r="G345" s="103" t="s">
        <v>68</v>
      </c>
      <c r="H345" s="148">
        <f>44021.6+1640+2175+262.3+900+682.3-682.3-244.6</f>
        <v>48754.3</v>
      </c>
      <c r="I345" s="32">
        <f>900+682.3-682.3</f>
        <v>900</v>
      </c>
    </row>
    <row r="346" spans="1:9" ht="43.5">
      <c r="A346" s="217" t="s">
        <v>432</v>
      </c>
      <c r="B346" s="54" t="s">
        <v>275</v>
      </c>
      <c r="C346" s="54" t="s">
        <v>157</v>
      </c>
      <c r="D346" s="92" t="s">
        <v>153</v>
      </c>
      <c r="E346" s="31" t="s">
        <v>433</v>
      </c>
      <c r="F346" s="30"/>
      <c r="G346" s="74" t="s">
        <v>44</v>
      </c>
      <c r="H346" s="148">
        <f>H347</f>
        <v>682.3</v>
      </c>
      <c r="I346" s="32">
        <f>I347</f>
        <v>682.3</v>
      </c>
    </row>
    <row r="347" spans="1:9" ht="15.75">
      <c r="A347" s="189" t="s">
        <v>138</v>
      </c>
      <c r="B347" s="54" t="s">
        <v>275</v>
      </c>
      <c r="C347" s="54" t="s">
        <v>157</v>
      </c>
      <c r="D347" s="92" t="s">
        <v>153</v>
      </c>
      <c r="E347" s="31" t="s">
        <v>433</v>
      </c>
      <c r="F347" s="30"/>
      <c r="G347" s="74" t="s">
        <v>68</v>
      </c>
      <c r="H347" s="148">
        <v>682.3</v>
      </c>
      <c r="I347" s="32">
        <v>682.3</v>
      </c>
    </row>
    <row r="348" spans="1:9" ht="15.75">
      <c r="A348" s="145" t="s">
        <v>95</v>
      </c>
      <c r="B348" s="54" t="s">
        <v>275</v>
      </c>
      <c r="C348" s="54" t="s">
        <v>157</v>
      </c>
      <c r="D348" s="92" t="s">
        <v>153</v>
      </c>
      <c r="E348" s="31" t="s">
        <v>75</v>
      </c>
      <c r="F348" s="30"/>
      <c r="G348" s="74" t="s">
        <v>44</v>
      </c>
      <c r="H348" s="148">
        <f>H349</f>
        <v>2609</v>
      </c>
      <c r="I348" s="32">
        <f>I349</f>
        <v>2609</v>
      </c>
    </row>
    <row r="349" spans="1:9" ht="43.5">
      <c r="A349" s="172" t="s">
        <v>239</v>
      </c>
      <c r="B349" s="54" t="s">
        <v>275</v>
      </c>
      <c r="C349" s="54" t="s">
        <v>157</v>
      </c>
      <c r="D349" s="92" t="s">
        <v>153</v>
      </c>
      <c r="E349" s="31" t="s">
        <v>205</v>
      </c>
      <c r="F349" s="30"/>
      <c r="G349" s="74" t="s">
        <v>44</v>
      </c>
      <c r="H349" s="148">
        <f>H350</f>
        <v>2609</v>
      </c>
      <c r="I349" s="32">
        <f>I350</f>
        <v>2609</v>
      </c>
    </row>
    <row r="350" spans="1:9" ht="15.75">
      <c r="A350" s="145" t="s">
        <v>138</v>
      </c>
      <c r="B350" s="54" t="s">
        <v>275</v>
      </c>
      <c r="C350" s="54" t="s">
        <v>157</v>
      </c>
      <c r="D350" s="92" t="s">
        <v>153</v>
      </c>
      <c r="E350" s="31" t="s">
        <v>205</v>
      </c>
      <c r="F350" s="30"/>
      <c r="G350" s="103" t="s">
        <v>68</v>
      </c>
      <c r="H350" s="148">
        <f>2211+398</f>
        <v>2609</v>
      </c>
      <c r="I350" s="32">
        <f>2211+398</f>
        <v>2609</v>
      </c>
    </row>
    <row r="351" spans="1:9" ht="15.75">
      <c r="A351" s="37" t="s">
        <v>268</v>
      </c>
      <c r="B351" s="64" t="s">
        <v>275</v>
      </c>
      <c r="C351" s="35" t="s">
        <v>157</v>
      </c>
      <c r="D351" s="93" t="s">
        <v>157</v>
      </c>
      <c r="E351" s="69" t="s">
        <v>42</v>
      </c>
      <c r="F351" s="34"/>
      <c r="G351" s="94" t="s">
        <v>44</v>
      </c>
      <c r="H351" s="254">
        <f>H356+H361+H352</f>
        <v>256331</v>
      </c>
      <c r="I351" s="36">
        <f>I356+I361+I352</f>
        <v>197963</v>
      </c>
    </row>
    <row r="352" spans="1:9" ht="15.75">
      <c r="A352" s="129" t="s">
        <v>363</v>
      </c>
      <c r="B352" s="54" t="s">
        <v>275</v>
      </c>
      <c r="C352" s="31" t="s">
        <v>157</v>
      </c>
      <c r="D352" s="92" t="s">
        <v>157</v>
      </c>
      <c r="E352" s="40" t="s">
        <v>362</v>
      </c>
      <c r="F352" s="30"/>
      <c r="G352" s="74" t="s">
        <v>44</v>
      </c>
      <c r="H352" s="148">
        <f aca="true" t="shared" si="12" ref="H352:I354">H353</f>
        <v>179763</v>
      </c>
      <c r="I352" s="32">
        <f t="shared" si="12"/>
        <v>179763</v>
      </c>
    </row>
    <row r="353" spans="1:9" ht="43.5">
      <c r="A353" s="128" t="s">
        <v>409</v>
      </c>
      <c r="B353" s="54" t="s">
        <v>275</v>
      </c>
      <c r="C353" s="31" t="s">
        <v>157</v>
      </c>
      <c r="D353" s="92" t="s">
        <v>157</v>
      </c>
      <c r="E353" s="40" t="s">
        <v>408</v>
      </c>
      <c r="F353" s="30"/>
      <c r="G353" s="74" t="s">
        <v>44</v>
      </c>
      <c r="H353" s="148">
        <f t="shared" si="12"/>
        <v>179763</v>
      </c>
      <c r="I353" s="32">
        <f t="shared" si="12"/>
        <v>179763</v>
      </c>
    </row>
    <row r="354" spans="1:9" ht="31.5" customHeight="1">
      <c r="A354" s="170" t="s">
        <v>410</v>
      </c>
      <c r="B354" s="54" t="s">
        <v>275</v>
      </c>
      <c r="C354" s="31" t="s">
        <v>157</v>
      </c>
      <c r="D354" s="92" t="s">
        <v>157</v>
      </c>
      <c r="E354" s="40" t="s">
        <v>359</v>
      </c>
      <c r="F354" s="30"/>
      <c r="G354" s="74" t="s">
        <v>44</v>
      </c>
      <c r="H354" s="148">
        <f t="shared" si="12"/>
        <v>179763</v>
      </c>
      <c r="I354" s="32">
        <f t="shared" si="12"/>
        <v>179763</v>
      </c>
    </row>
    <row r="355" spans="1:9" ht="15.75">
      <c r="A355" s="145" t="s">
        <v>138</v>
      </c>
      <c r="B355" s="54" t="s">
        <v>275</v>
      </c>
      <c r="C355" s="31" t="s">
        <v>157</v>
      </c>
      <c r="D355" s="92" t="s">
        <v>157</v>
      </c>
      <c r="E355" s="40" t="s">
        <v>359</v>
      </c>
      <c r="F355" s="30"/>
      <c r="G355" s="74" t="s">
        <v>68</v>
      </c>
      <c r="H355" s="148">
        <f>21850+157913</f>
        <v>179763</v>
      </c>
      <c r="I355" s="32">
        <f>21850+157913</f>
        <v>179763</v>
      </c>
    </row>
    <row r="356" spans="1:9" ht="15.75">
      <c r="A356" s="52" t="s">
        <v>100</v>
      </c>
      <c r="B356" s="54" t="s">
        <v>275</v>
      </c>
      <c r="C356" s="31" t="s">
        <v>157</v>
      </c>
      <c r="D356" s="92" t="s">
        <v>157</v>
      </c>
      <c r="E356" s="31" t="s">
        <v>101</v>
      </c>
      <c r="F356" s="30"/>
      <c r="G356" s="74" t="s">
        <v>44</v>
      </c>
      <c r="H356" s="148">
        <f>H359+H357</f>
        <v>3000</v>
      </c>
      <c r="I356" s="32"/>
    </row>
    <row r="357" spans="1:9" ht="57">
      <c r="A357" s="170" t="s">
        <v>242</v>
      </c>
      <c r="B357" s="54" t="s">
        <v>275</v>
      </c>
      <c r="C357" s="31" t="s">
        <v>157</v>
      </c>
      <c r="D357" s="92" t="s">
        <v>157</v>
      </c>
      <c r="E357" s="31" t="s">
        <v>209</v>
      </c>
      <c r="F357" s="30"/>
      <c r="G357" s="74" t="s">
        <v>44</v>
      </c>
      <c r="H357" s="148">
        <f>H358</f>
        <v>1000</v>
      </c>
      <c r="I357" s="32"/>
    </row>
    <row r="358" spans="1:9" ht="15.75">
      <c r="A358" s="145" t="s">
        <v>138</v>
      </c>
      <c r="B358" s="54" t="s">
        <v>275</v>
      </c>
      <c r="C358" s="31" t="s">
        <v>157</v>
      </c>
      <c r="D358" s="92" t="s">
        <v>157</v>
      </c>
      <c r="E358" s="31" t="s">
        <v>209</v>
      </c>
      <c r="F358" s="30"/>
      <c r="G358" s="74" t="s">
        <v>68</v>
      </c>
      <c r="H358" s="148">
        <f>2000-1000</f>
        <v>1000</v>
      </c>
      <c r="I358" s="32"/>
    </row>
    <row r="359" spans="1:9" ht="42.75">
      <c r="A359" s="175" t="s">
        <v>300</v>
      </c>
      <c r="B359" s="54" t="s">
        <v>275</v>
      </c>
      <c r="C359" s="31" t="s">
        <v>157</v>
      </c>
      <c r="D359" s="92" t="s">
        <v>157</v>
      </c>
      <c r="E359" s="31" t="s">
        <v>299</v>
      </c>
      <c r="F359" s="30"/>
      <c r="G359" s="74"/>
      <c r="H359" s="148">
        <f>H360</f>
        <v>2000</v>
      </c>
      <c r="I359" s="32"/>
    </row>
    <row r="360" spans="1:9" ht="15.75">
      <c r="A360" s="145" t="s">
        <v>138</v>
      </c>
      <c r="B360" s="54" t="s">
        <v>275</v>
      </c>
      <c r="C360" s="31" t="s">
        <v>157</v>
      </c>
      <c r="D360" s="92" t="s">
        <v>157</v>
      </c>
      <c r="E360" s="31" t="s">
        <v>299</v>
      </c>
      <c r="F360" s="30"/>
      <c r="G360" s="74" t="s">
        <v>68</v>
      </c>
      <c r="H360" s="148">
        <f>1000+1000</f>
        <v>2000</v>
      </c>
      <c r="I360" s="32"/>
    </row>
    <row r="361" spans="1:9" ht="47.25" customHeight="1">
      <c r="A361" s="170" t="s">
        <v>388</v>
      </c>
      <c r="B361" s="54" t="s">
        <v>275</v>
      </c>
      <c r="C361" s="31" t="s">
        <v>157</v>
      </c>
      <c r="D361" s="92" t="s">
        <v>157</v>
      </c>
      <c r="E361" s="31" t="s">
        <v>302</v>
      </c>
      <c r="F361" s="30"/>
      <c r="G361" s="74" t="s">
        <v>44</v>
      </c>
      <c r="H361" s="148">
        <f>H362</f>
        <v>73568</v>
      </c>
      <c r="I361" s="32">
        <f>I362</f>
        <v>18200</v>
      </c>
    </row>
    <row r="362" spans="1:9" ht="15.75">
      <c r="A362" s="52" t="s">
        <v>138</v>
      </c>
      <c r="B362" s="54" t="s">
        <v>275</v>
      </c>
      <c r="C362" s="31" t="s">
        <v>157</v>
      </c>
      <c r="D362" s="92" t="s">
        <v>157</v>
      </c>
      <c r="E362" s="40" t="s">
        <v>302</v>
      </c>
      <c r="F362" s="30"/>
      <c r="G362" s="74" t="s">
        <v>68</v>
      </c>
      <c r="H362" s="255">
        <f>26068+7000+15000+7300+18200</f>
        <v>73568</v>
      </c>
      <c r="I362" s="32">
        <v>18200</v>
      </c>
    </row>
    <row r="363" spans="1:9" ht="15.75">
      <c r="A363" s="37" t="s">
        <v>5</v>
      </c>
      <c r="B363" s="64" t="s">
        <v>275</v>
      </c>
      <c r="C363" s="64" t="s">
        <v>158</v>
      </c>
      <c r="D363" s="34" t="s">
        <v>96</v>
      </c>
      <c r="E363" s="69" t="s">
        <v>42</v>
      </c>
      <c r="F363" s="34"/>
      <c r="G363" s="94" t="s">
        <v>44</v>
      </c>
      <c r="H363" s="256">
        <f>H364</f>
        <v>1800</v>
      </c>
      <c r="I363" s="157">
        <f>I364</f>
        <v>0</v>
      </c>
    </row>
    <row r="364" spans="1:9" ht="15.75">
      <c r="A364" s="37" t="s">
        <v>99</v>
      </c>
      <c r="B364" s="64" t="s">
        <v>275</v>
      </c>
      <c r="C364" s="64" t="s">
        <v>158</v>
      </c>
      <c r="D364" s="34" t="s">
        <v>170</v>
      </c>
      <c r="E364" s="35" t="s">
        <v>42</v>
      </c>
      <c r="F364" s="158"/>
      <c r="G364" s="94" t="s">
        <v>44</v>
      </c>
      <c r="H364" s="254">
        <f>H365</f>
        <v>1800</v>
      </c>
      <c r="I364" s="36">
        <f>I365</f>
        <v>0</v>
      </c>
    </row>
    <row r="365" spans="1:9" ht="15.75">
      <c r="A365" s="52" t="s">
        <v>100</v>
      </c>
      <c r="B365" s="54" t="s">
        <v>275</v>
      </c>
      <c r="C365" s="31" t="s">
        <v>158</v>
      </c>
      <c r="D365" s="30" t="s">
        <v>170</v>
      </c>
      <c r="E365" s="31" t="s">
        <v>101</v>
      </c>
      <c r="F365" s="82" t="s">
        <v>44</v>
      </c>
      <c r="G365" s="74" t="s">
        <v>44</v>
      </c>
      <c r="H365" s="148">
        <f>H366</f>
        <v>1800</v>
      </c>
      <c r="I365" s="32"/>
    </row>
    <row r="366" spans="1:9" ht="29.25">
      <c r="A366" s="204" t="s">
        <v>355</v>
      </c>
      <c r="B366" s="54" t="s">
        <v>275</v>
      </c>
      <c r="C366" s="31" t="s">
        <v>158</v>
      </c>
      <c r="D366" s="30" t="s">
        <v>170</v>
      </c>
      <c r="E366" s="31" t="s">
        <v>192</v>
      </c>
      <c r="F366" s="82" t="s">
        <v>44</v>
      </c>
      <c r="G366" s="74" t="s">
        <v>44</v>
      </c>
      <c r="H366" s="148">
        <f>H367</f>
        <v>1800</v>
      </c>
      <c r="I366" s="32"/>
    </row>
    <row r="367" spans="1:9" ht="16.5" thickBot="1">
      <c r="A367" s="52" t="s">
        <v>138</v>
      </c>
      <c r="B367" s="54" t="s">
        <v>275</v>
      </c>
      <c r="C367" s="54" t="s">
        <v>158</v>
      </c>
      <c r="D367" s="53" t="s">
        <v>170</v>
      </c>
      <c r="E367" s="77" t="s">
        <v>192</v>
      </c>
      <c r="F367" s="53" t="s">
        <v>102</v>
      </c>
      <c r="G367" s="178" t="s">
        <v>68</v>
      </c>
      <c r="H367" s="257">
        <f>800+1000</f>
        <v>1800</v>
      </c>
      <c r="I367" s="55"/>
    </row>
    <row r="368" spans="1:10" s="3" customFormat="1" ht="54.75" thickBot="1">
      <c r="A368" s="171" t="s">
        <v>93</v>
      </c>
      <c r="B368" s="24" t="s">
        <v>276</v>
      </c>
      <c r="C368" s="24" t="s">
        <v>96</v>
      </c>
      <c r="D368" s="22" t="s">
        <v>96</v>
      </c>
      <c r="E368" s="24" t="s">
        <v>42</v>
      </c>
      <c r="F368" s="22"/>
      <c r="G368" s="111" t="s">
        <v>44</v>
      </c>
      <c r="H368" s="146">
        <f>H369+H380+H386</f>
        <v>9936.8</v>
      </c>
      <c r="I368" s="25">
        <f>I369+I377</f>
        <v>0</v>
      </c>
      <c r="J368"/>
    </row>
    <row r="369" spans="1:9" ht="28.5" customHeight="1">
      <c r="A369" s="166" t="s">
        <v>15</v>
      </c>
      <c r="B369" s="89" t="s">
        <v>276</v>
      </c>
      <c r="C369" s="64" t="s">
        <v>151</v>
      </c>
      <c r="D369" s="38" t="s">
        <v>96</v>
      </c>
      <c r="E369" s="64" t="s">
        <v>42</v>
      </c>
      <c r="F369" s="38"/>
      <c r="G369" s="104" t="s">
        <v>44</v>
      </c>
      <c r="H369" s="253">
        <f>H370</f>
        <v>6786.8</v>
      </c>
      <c r="I369" s="66">
        <f aca="true" t="shared" si="13" ref="H369:I372">I370</f>
        <v>0</v>
      </c>
    </row>
    <row r="370" spans="1:9" ht="15.75">
      <c r="A370" s="166" t="s">
        <v>62</v>
      </c>
      <c r="B370" s="89" t="s">
        <v>276</v>
      </c>
      <c r="C370" s="64" t="s">
        <v>151</v>
      </c>
      <c r="D370" s="38" t="s">
        <v>265</v>
      </c>
      <c r="E370" s="35" t="s">
        <v>42</v>
      </c>
      <c r="F370" s="38"/>
      <c r="G370" s="94" t="s">
        <v>44</v>
      </c>
      <c r="H370" s="253">
        <f>H373+H374</f>
        <v>6786.8</v>
      </c>
      <c r="I370" s="66">
        <f t="shared" si="13"/>
        <v>0</v>
      </c>
    </row>
    <row r="371" spans="1:9" ht="15.75">
      <c r="A371" s="52" t="s">
        <v>16</v>
      </c>
      <c r="B371" s="102" t="s">
        <v>276</v>
      </c>
      <c r="C371" s="31" t="s">
        <v>151</v>
      </c>
      <c r="D371" s="30" t="s">
        <v>265</v>
      </c>
      <c r="E371" s="31" t="s">
        <v>202</v>
      </c>
      <c r="F371" s="30"/>
      <c r="G371" s="74" t="s">
        <v>44</v>
      </c>
      <c r="H371" s="148">
        <f t="shared" si="13"/>
        <v>5454.3</v>
      </c>
      <c r="I371" s="32">
        <f t="shared" si="13"/>
        <v>0</v>
      </c>
    </row>
    <row r="372" spans="1:9" ht="15.75">
      <c r="A372" s="52" t="s">
        <v>45</v>
      </c>
      <c r="B372" s="102" t="s">
        <v>276</v>
      </c>
      <c r="C372" s="40" t="s">
        <v>151</v>
      </c>
      <c r="D372" s="39" t="s">
        <v>265</v>
      </c>
      <c r="E372" s="40" t="s">
        <v>204</v>
      </c>
      <c r="F372" s="39"/>
      <c r="G372" s="74" t="s">
        <v>44</v>
      </c>
      <c r="H372" s="148">
        <f t="shared" si="13"/>
        <v>5454.3</v>
      </c>
      <c r="I372" s="32">
        <f t="shared" si="13"/>
        <v>0</v>
      </c>
    </row>
    <row r="373" spans="1:9" ht="15.75">
      <c r="A373" s="52" t="s">
        <v>115</v>
      </c>
      <c r="B373" s="102" t="s">
        <v>276</v>
      </c>
      <c r="C373" s="31" t="s">
        <v>151</v>
      </c>
      <c r="D373" s="30" t="s">
        <v>265</v>
      </c>
      <c r="E373" s="31" t="s">
        <v>204</v>
      </c>
      <c r="F373" s="30"/>
      <c r="G373" s="63" t="s">
        <v>203</v>
      </c>
      <c r="H373" s="148">
        <v>5454.3</v>
      </c>
      <c r="I373" s="52"/>
    </row>
    <row r="374" spans="1:9" ht="15.75">
      <c r="A374" s="52" t="s">
        <v>100</v>
      </c>
      <c r="B374" s="102" t="s">
        <v>276</v>
      </c>
      <c r="C374" s="40" t="s">
        <v>151</v>
      </c>
      <c r="D374" s="39" t="s">
        <v>265</v>
      </c>
      <c r="E374" s="40" t="s">
        <v>101</v>
      </c>
      <c r="F374" s="39"/>
      <c r="G374" s="74" t="s">
        <v>44</v>
      </c>
      <c r="H374" s="147">
        <f>H375+H377</f>
        <v>1332.5</v>
      </c>
      <c r="I374" s="144"/>
    </row>
    <row r="375" spans="1:9" ht="28.5" customHeight="1">
      <c r="A375" s="142" t="s">
        <v>303</v>
      </c>
      <c r="B375" s="102" t="s">
        <v>276</v>
      </c>
      <c r="C375" s="40" t="s">
        <v>151</v>
      </c>
      <c r="D375" s="39" t="s">
        <v>265</v>
      </c>
      <c r="E375" s="40" t="s">
        <v>282</v>
      </c>
      <c r="F375" s="39"/>
      <c r="G375" s="74" t="s">
        <v>44</v>
      </c>
      <c r="H375" s="147">
        <f>H376</f>
        <v>739.5</v>
      </c>
      <c r="I375" s="144"/>
    </row>
    <row r="376" spans="1:9" ht="15.75">
      <c r="A376" s="144" t="s">
        <v>115</v>
      </c>
      <c r="B376" s="102" t="s">
        <v>276</v>
      </c>
      <c r="C376" s="40" t="s">
        <v>151</v>
      </c>
      <c r="D376" s="39" t="s">
        <v>265</v>
      </c>
      <c r="E376" s="40" t="s">
        <v>282</v>
      </c>
      <c r="F376" s="39"/>
      <c r="G376" s="63" t="s">
        <v>203</v>
      </c>
      <c r="H376" s="147">
        <v>739.5</v>
      </c>
      <c r="I376" s="144"/>
    </row>
    <row r="377" spans="1:10" s="3" customFormat="1" ht="85.5">
      <c r="A377" s="167" t="s">
        <v>285</v>
      </c>
      <c r="B377" s="92" t="s">
        <v>276</v>
      </c>
      <c r="C377" s="31" t="s">
        <v>151</v>
      </c>
      <c r="D377" s="30" t="s">
        <v>265</v>
      </c>
      <c r="E377" s="31" t="s">
        <v>284</v>
      </c>
      <c r="F377" s="30"/>
      <c r="G377" s="74" t="s">
        <v>44</v>
      </c>
      <c r="H377" s="148">
        <f>H378</f>
        <v>593</v>
      </c>
      <c r="I377" s="37"/>
      <c r="J377"/>
    </row>
    <row r="378" spans="1:9" ht="15" customHeight="1">
      <c r="A378" s="161" t="s">
        <v>115</v>
      </c>
      <c r="B378" s="72" t="s">
        <v>276</v>
      </c>
      <c r="C378" s="68" t="s">
        <v>151</v>
      </c>
      <c r="D378" s="47" t="s">
        <v>265</v>
      </c>
      <c r="E378" s="68" t="s">
        <v>284</v>
      </c>
      <c r="F378" s="47"/>
      <c r="G378" s="120" t="s">
        <v>203</v>
      </c>
      <c r="H378" s="149">
        <v>593</v>
      </c>
      <c r="I378" s="161"/>
    </row>
    <row r="379" spans="1:9" ht="15" customHeight="1">
      <c r="A379" s="37" t="s">
        <v>21</v>
      </c>
      <c r="B379" s="93" t="s">
        <v>276</v>
      </c>
      <c r="C379" s="35" t="s">
        <v>165</v>
      </c>
      <c r="D379" s="34" t="s">
        <v>96</v>
      </c>
      <c r="E379" s="35" t="s">
        <v>42</v>
      </c>
      <c r="F379" s="34"/>
      <c r="G379" s="94" t="s">
        <v>44</v>
      </c>
      <c r="H379" s="254">
        <f>H380</f>
        <v>2600</v>
      </c>
      <c r="I379" s="37"/>
    </row>
    <row r="380" spans="1:9" ht="15" customHeight="1">
      <c r="A380" s="37" t="s">
        <v>103</v>
      </c>
      <c r="B380" s="89" t="s">
        <v>276</v>
      </c>
      <c r="C380" s="35" t="s">
        <v>165</v>
      </c>
      <c r="D380" s="34" t="s">
        <v>156</v>
      </c>
      <c r="E380" s="35" t="s">
        <v>42</v>
      </c>
      <c r="F380" s="34"/>
      <c r="G380" s="94" t="s">
        <v>44</v>
      </c>
      <c r="H380" s="254">
        <f>H381+H383</f>
        <v>2600</v>
      </c>
      <c r="I380" s="37"/>
    </row>
    <row r="381" spans="1:9" ht="15" customHeight="1">
      <c r="A381" s="52" t="s">
        <v>106</v>
      </c>
      <c r="B381" s="92" t="s">
        <v>276</v>
      </c>
      <c r="C381" s="31" t="s">
        <v>165</v>
      </c>
      <c r="D381" s="30" t="s">
        <v>156</v>
      </c>
      <c r="E381" s="40" t="s">
        <v>222</v>
      </c>
      <c r="F381" s="82"/>
      <c r="G381" s="74" t="s">
        <v>44</v>
      </c>
      <c r="H381" s="148">
        <f>H382</f>
        <v>200</v>
      </c>
      <c r="I381" s="52"/>
    </row>
    <row r="382" spans="1:9" ht="15" customHeight="1">
      <c r="A382" s="144" t="s">
        <v>115</v>
      </c>
      <c r="B382" s="92" t="s">
        <v>276</v>
      </c>
      <c r="C382" s="31" t="s">
        <v>165</v>
      </c>
      <c r="D382" s="30" t="s">
        <v>156</v>
      </c>
      <c r="E382" s="40" t="s">
        <v>222</v>
      </c>
      <c r="F382" s="82"/>
      <c r="G382" s="96" t="s">
        <v>203</v>
      </c>
      <c r="H382" s="148">
        <f>300-100</f>
        <v>200</v>
      </c>
      <c r="I382" s="52"/>
    </row>
    <row r="383" spans="1:9" ht="15" customHeight="1">
      <c r="A383" s="52" t="s">
        <v>103</v>
      </c>
      <c r="B383" s="102" t="s">
        <v>276</v>
      </c>
      <c r="C383" s="31" t="s">
        <v>165</v>
      </c>
      <c r="D383" s="30" t="s">
        <v>156</v>
      </c>
      <c r="E383" s="31" t="s">
        <v>210</v>
      </c>
      <c r="F383" s="30"/>
      <c r="G383" s="74" t="s">
        <v>44</v>
      </c>
      <c r="H383" s="148">
        <f>H385</f>
        <v>2400</v>
      </c>
      <c r="I383" s="52"/>
    </row>
    <row r="384" spans="1:9" ht="15" customHeight="1">
      <c r="A384" s="52" t="s">
        <v>224</v>
      </c>
      <c r="B384" s="102" t="s">
        <v>276</v>
      </c>
      <c r="C384" s="31" t="s">
        <v>165</v>
      </c>
      <c r="D384" s="30" t="s">
        <v>156</v>
      </c>
      <c r="E384" s="31" t="s">
        <v>225</v>
      </c>
      <c r="F384" s="30"/>
      <c r="G384" s="74" t="s">
        <v>44</v>
      </c>
      <c r="H384" s="148">
        <f>H385</f>
        <v>2400</v>
      </c>
      <c r="I384" s="52"/>
    </row>
    <row r="385" spans="1:9" ht="15" customHeight="1">
      <c r="A385" s="52" t="s">
        <v>115</v>
      </c>
      <c r="B385" s="92" t="s">
        <v>276</v>
      </c>
      <c r="C385" s="31" t="s">
        <v>165</v>
      </c>
      <c r="D385" s="30" t="s">
        <v>156</v>
      </c>
      <c r="E385" s="31" t="s">
        <v>225</v>
      </c>
      <c r="F385" s="30"/>
      <c r="G385" s="63" t="s">
        <v>203</v>
      </c>
      <c r="H385" s="148">
        <f>2500+400-500</f>
        <v>2400</v>
      </c>
      <c r="I385" s="52"/>
    </row>
    <row r="386" spans="1:9" ht="15" customHeight="1">
      <c r="A386" s="166" t="s">
        <v>40</v>
      </c>
      <c r="B386" s="89" t="s">
        <v>276</v>
      </c>
      <c r="C386" s="64" t="s">
        <v>170</v>
      </c>
      <c r="D386" s="38" t="s">
        <v>165</v>
      </c>
      <c r="E386" s="64" t="s">
        <v>42</v>
      </c>
      <c r="F386" s="38"/>
      <c r="G386" s="159" t="s">
        <v>44</v>
      </c>
      <c r="H386" s="253">
        <f aca="true" t="shared" si="14" ref="H386:I388">H387</f>
        <v>550</v>
      </c>
      <c r="I386" s="66">
        <f t="shared" si="14"/>
        <v>0</v>
      </c>
    </row>
    <row r="387" spans="1:9" ht="15" customHeight="1">
      <c r="A387" s="52" t="s">
        <v>100</v>
      </c>
      <c r="B387" s="92" t="s">
        <v>276</v>
      </c>
      <c r="C387" s="31" t="s">
        <v>170</v>
      </c>
      <c r="D387" s="30" t="s">
        <v>165</v>
      </c>
      <c r="E387" s="31" t="s">
        <v>101</v>
      </c>
      <c r="F387" s="30"/>
      <c r="G387" s="74" t="s">
        <v>44</v>
      </c>
      <c r="H387" s="147">
        <f t="shared" si="14"/>
        <v>550</v>
      </c>
      <c r="I387" s="55">
        <f t="shared" si="14"/>
        <v>0</v>
      </c>
    </row>
    <row r="388" spans="1:9" ht="33" customHeight="1">
      <c r="A388" s="142" t="s">
        <v>294</v>
      </c>
      <c r="B388" s="98" t="s">
        <v>276</v>
      </c>
      <c r="C388" s="40" t="s">
        <v>170</v>
      </c>
      <c r="D388" s="39" t="s">
        <v>165</v>
      </c>
      <c r="E388" s="40" t="s">
        <v>196</v>
      </c>
      <c r="F388" s="39"/>
      <c r="G388" s="74" t="s">
        <v>44</v>
      </c>
      <c r="H388" s="255">
        <f t="shared" si="14"/>
        <v>550</v>
      </c>
      <c r="I388" s="41">
        <f t="shared" si="14"/>
        <v>0</v>
      </c>
    </row>
    <row r="389" spans="1:9" ht="15" customHeight="1" thickBot="1">
      <c r="A389" s="52" t="s">
        <v>115</v>
      </c>
      <c r="B389" s="92" t="s">
        <v>276</v>
      </c>
      <c r="C389" s="31" t="s">
        <v>170</v>
      </c>
      <c r="D389" s="30" t="s">
        <v>165</v>
      </c>
      <c r="E389" s="31" t="s">
        <v>196</v>
      </c>
      <c r="F389" s="30"/>
      <c r="G389" s="96" t="s">
        <v>203</v>
      </c>
      <c r="H389" s="148">
        <f>90+460</f>
        <v>550</v>
      </c>
      <c r="I389" s="52"/>
    </row>
    <row r="390" spans="1:10" s="4" customFormat="1" ht="36.75" thickBot="1">
      <c r="A390" s="171" t="s">
        <v>246</v>
      </c>
      <c r="B390" s="87" t="s">
        <v>277</v>
      </c>
      <c r="C390" s="24" t="s">
        <v>96</v>
      </c>
      <c r="D390" s="22" t="s">
        <v>96</v>
      </c>
      <c r="E390" s="24" t="s">
        <v>42</v>
      </c>
      <c r="F390" s="22"/>
      <c r="G390" s="111" t="s">
        <v>44</v>
      </c>
      <c r="H390" s="146">
        <f aca="true" t="shared" si="15" ref="H390:I393">H391</f>
        <v>13167.300000000001</v>
      </c>
      <c r="I390" s="25">
        <f t="shared" si="15"/>
        <v>0</v>
      </c>
      <c r="J390"/>
    </row>
    <row r="391" spans="1:9" ht="15.75">
      <c r="A391" s="166" t="s">
        <v>15</v>
      </c>
      <c r="B391" s="28" t="s">
        <v>277</v>
      </c>
      <c r="C391" s="64" t="s">
        <v>151</v>
      </c>
      <c r="D391" s="38" t="s">
        <v>96</v>
      </c>
      <c r="E391" s="35" t="s">
        <v>42</v>
      </c>
      <c r="F391" s="38"/>
      <c r="G391" s="104" t="s">
        <v>44</v>
      </c>
      <c r="H391" s="253">
        <f>H392+H395</f>
        <v>13167.300000000001</v>
      </c>
      <c r="I391" s="66">
        <f t="shared" si="15"/>
        <v>0</v>
      </c>
    </row>
    <row r="392" spans="1:9" ht="45">
      <c r="A392" s="33" t="s">
        <v>245</v>
      </c>
      <c r="B392" s="35" t="s">
        <v>277</v>
      </c>
      <c r="C392" s="35" t="s">
        <v>151</v>
      </c>
      <c r="D392" s="34" t="s">
        <v>170</v>
      </c>
      <c r="E392" s="35" t="s">
        <v>42</v>
      </c>
      <c r="F392" s="34"/>
      <c r="G392" s="94" t="s">
        <v>44</v>
      </c>
      <c r="H392" s="254">
        <f t="shared" si="15"/>
        <v>10726.7</v>
      </c>
      <c r="I392" s="36">
        <f t="shared" si="15"/>
        <v>0</v>
      </c>
    </row>
    <row r="393" spans="1:9" ht="15.75">
      <c r="A393" s="52" t="s">
        <v>45</v>
      </c>
      <c r="B393" s="31" t="s">
        <v>277</v>
      </c>
      <c r="C393" s="31" t="s">
        <v>151</v>
      </c>
      <c r="D393" s="30" t="s">
        <v>170</v>
      </c>
      <c r="E393" s="31" t="s">
        <v>204</v>
      </c>
      <c r="F393" s="30"/>
      <c r="G393" s="74" t="s">
        <v>44</v>
      </c>
      <c r="H393" s="148">
        <f t="shared" si="15"/>
        <v>10726.7</v>
      </c>
      <c r="I393" s="32">
        <f t="shared" si="15"/>
        <v>0</v>
      </c>
    </row>
    <row r="394" spans="1:9" ht="15.75">
      <c r="A394" s="145" t="s">
        <v>115</v>
      </c>
      <c r="B394" s="72" t="s">
        <v>277</v>
      </c>
      <c r="C394" s="40" t="s">
        <v>151</v>
      </c>
      <c r="D394" s="39" t="s">
        <v>170</v>
      </c>
      <c r="E394" s="40" t="s">
        <v>204</v>
      </c>
      <c r="F394" s="39" t="s">
        <v>203</v>
      </c>
      <c r="G394" s="115" t="s">
        <v>203</v>
      </c>
      <c r="H394" s="255">
        <v>10726.7</v>
      </c>
      <c r="I394" s="41"/>
    </row>
    <row r="395" spans="1:9" ht="15.75">
      <c r="A395" s="37" t="s">
        <v>62</v>
      </c>
      <c r="B395" s="93" t="s">
        <v>277</v>
      </c>
      <c r="C395" s="35" t="s">
        <v>151</v>
      </c>
      <c r="D395" s="34" t="s">
        <v>265</v>
      </c>
      <c r="E395" s="35" t="s">
        <v>42</v>
      </c>
      <c r="F395" s="34"/>
      <c r="G395" s="94" t="s">
        <v>44</v>
      </c>
      <c r="H395" s="254">
        <f>H396</f>
        <v>2440.6</v>
      </c>
      <c r="I395" s="36"/>
    </row>
    <row r="396" spans="1:9" ht="15.75">
      <c r="A396" s="52" t="s">
        <v>100</v>
      </c>
      <c r="B396" s="92" t="s">
        <v>277</v>
      </c>
      <c r="C396" s="31" t="s">
        <v>151</v>
      </c>
      <c r="D396" s="30" t="s">
        <v>265</v>
      </c>
      <c r="E396" s="31" t="s">
        <v>101</v>
      </c>
      <c r="F396" s="30"/>
      <c r="G396" s="63" t="s">
        <v>44</v>
      </c>
      <c r="H396" s="148">
        <f>H397</f>
        <v>2440.6</v>
      </c>
      <c r="I396" s="32"/>
    </row>
    <row r="397" spans="1:9" ht="43.5">
      <c r="A397" s="142" t="s">
        <v>303</v>
      </c>
      <c r="B397" s="92" t="s">
        <v>277</v>
      </c>
      <c r="C397" s="31" t="s">
        <v>151</v>
      </c>
      <c r="D397" s="30" t="s">
        <v>265</v>
      </c>
      <c r="E397" s="31" t="s">
        <v>282</v>
      </c>
      <c r="F397" s="30"/>
      <c r="G397" s="63" t="s">
        <v>44</v>
      </c>
      <c r="H397" s="148">
        <f>H398</f>
        <v>2440.6</v>
      </c>
      <c r="I397" s="32"/>
    </row>
    <row r="398" spans="1:9" ht="16.5" thickBot="1">
      <c r="A398" s="52" t="s">
        <v>115</v>
      </c>
      <c r="B398" s="92" t="s">
        <v>277</v>
      </c>
      <c r="C398" s="31" t="s">
        <v>151</v>
      </c>
      <c r="D398" s="30" t="s">
        <v>265</v>
      </c>
      <c r="E398" s="40" t="s">
        <v>282</v>
      </c>
      <c r="F398" s="30"/>
      <c r="G398" s="61" t="s">
        <v>203</v>
      </c>
      <c r="H398" s="148">
        <v>2440.6</v>
      </c>
      <c r="I398" s="32"/>
    </row>
    <row r="399" spans="1:9" ht="36.75" thickBot="1">
      <c r="A399" s="171" t="s">
        <v>307</v>
      </c>
      <c r="B399" s="87" t="s">
        <v>278</v>
      </c>
      <c r="C399" s="24" t="s">
        <v>96</v>
      </c>
      <c r="D399" s="22" t="s">
        <v>96</v>
      </c>
      <c r="E399" s="24" t="s">
        <v>42</v>
      </c>
      <c r="F399" s="22"/>
      <c r="G399" s="88" t="s">
        <v>44</v>
      </c>
      <c r="H399" s="146">
        <f>H400+H416+H421+H412</f>
        <v>89363.3</v>
      </c>
      <c r="I399" s="25">
        <f>I400+I416+I421</f>
        <v>63653.4</v>
      </c>
    </row>
    <row r="400" spans="1:10" s="3" customFormat="1" ht="15.75">
      <c r="A400" s="166" t="s">
        <v>15</v>
      </c>
      <c r="B400" s="89" t="s">
        <v>278</v>
      </c>
      <c r="C400" s="28" t="s">
        <v>151</v>
      </c>
      <c r="D400" s="27" t="s">
        <v>96</v>
      </c>
      <c r="E400" s="35" t="s">
        <v>42</v>
      </c>
      <c r="F400" s="38"/>
      <c r="G400" s="114" t="s">
        <v>44</v>
      </c>
      <c r="H400" s="186">
        <f>H401</f>
        <v>17840.5</v>
      </c>
      <c r="I400" s="29">
        <f>I401</f>
        <v>0</v>
      </c>
      <c r="J400"/>
    </row>
    <row r="401" spans="1:9" ht="15.75">
      <c r="A401" s="166" t="s">
        <v>62</v>
      </c>
      <c r="B401" s="89" t="s">
        <v>278</v>
      </c>
      <c r="C401" s="64" t="s">
        <v>151</v>
      </c>
      <c r="D401" s="38" t="s">
        <v>265</v>
      </c>
      <c r="E401" s="35" t="s">
        <v>42</v>
      </c>
      <c r="F401" s="38"/>
      <c r="G401" s="104" t="s">
        <v>44</v>
      </c>
      <c r="H401" s="253">
        <f>H402+H405+H408</f>
        <v>17840.5</v>
      </c>
      <c r="I401" s="66">
        <f>I402+I405</f>
        <v>0</v>
      </c>
    </row>
    <row r="402" spans="1:9" ht="43.5">
      <c r="A402" s="142" t="s">
        <v>212</v>
      </c>
      <c r="B402" s="102" t="s">
        <v>278</v>
      </c>
      <c r="C402" s="31" t="s">
        <v>151</v>
      </c>
      <c r="D402" s="30" t="s">
        <v>265</v>
      </c>
      <c r="E402" s="31" t="s">
        <v>202</v>
      </c>
      <c r="F402" s="30"/>
      <c r="G402" s="63" t="s">
        <v>44</v>
      </c>
      <c r="H402" s="148">
        <f>H403</f>
        <v>13195</v>
      </c>
      <c r="I402" s="32">
        <f>I403</f>
        <v>0</v>
      </c>
    </row>
    <row r="403" spans="1:9" ht="15.75">
      <c r="A403" s="52" t="s">
        <v>45</v>
      </c>
      <c r="B403" s="102" t="s">
        <v>278</v>
      </c>
      <c r="C403" s="40" t="s">
        <v>151</v>
      </c>
      <c r="D403" s="39" t="s">
        <v>265</v>
      </c>
      <c r="E403" s="40" t="s">
        <v>204</v>
      </c>
      <c r="F403" s="39"/>
      <c r="G403" s="63" t="s">
        <v>44</v>
      </c>
      <c r="H403" s="255">
        <f>H404</f>
        <v>13195</v>
      </c>
      <c r="I403" s="145"/>
    </row>
    <row r="404" spans="1:9" ht="15.75">
      <c r="A404" s="144" t="s">
        <v>115</v>
      </c>
      <c r="B404" s="102" t="s">
        <v>278</v>
      </c>
      <c r="C404" s="40" t="s">
        <v>151</v>
      </c>
      <c r="D404" s="39" t="s">
        <v>265</v>
      </c>
      <c r="E404" s="40" t="s">
        <v>204</v>
      </c>
      <c r="F404" s="39"/>
      <c r="G404" s="115" t="s">
        <v>203</v>
      </c>
      <c r="H404" s="255">
        <v>13195</v>
      </c>
      <c r="I404" s="145"/>
    </row>
    <row r="405" spans="1:9" ht="29.25">
      <c r="A405" s="142" t="s">
        <v>169</v>
      </c>
      <c r="B405" s="102" t="s">
        <v>278</v>
      </c>
      <c r="C405" s="31" t="s">
        <v>151</v>
      </c>
      <c r="D405" s="30" t="s">
        <v>265</v>
      </c>
      <c r="E405" s="31" t="s">
        <v>107</v>
      </c>
      <c r="F405" s="30"/>
      <c r="G405" s="63" t="s">
        <v>44</v>
      </c>
      <c r="H405" s="148">
        <f>H406</f>
        <v>2200</v>
      </c>
      <c r="I405" s="32">
        <f>I406</f>
        <v>0</v>
      </c>
    </row>
    <row r="406" spans="1:9" ht="15.75">
      <c r="A406" s="145" t="s">
        <v>59</v>
      </c>
      <c r="B406" s="102" t="s">
        <v>278</v>
      </c>
      <c r="C406" s="31" t="s">
        <v>151</v>
      </c>
      <c r="D406" s="30" t="s">
        <v>265</v>
      </c>
      <c r="E406" s="31" t="s">
        <v>168</v>
      </c>
      <c r="F406" s="30"/>
      <c r="G406" s="63" t="s">
        <v>44</v>
      </c>
      <c r="H406" s="148">
        <f>H407</f>
        <v>2200</v>
      </c>
      <c r="I406" s="32">
        <f>I407</f>
        <v>0</v>
      </c>
    </row>
    <row r="407" spans="1:9" ht="15.75">
      <c r="A407" s="52" t="s">
        <v>115</v>
      </c>
      <c r="B407" s="102" t="s">
        <v>278</v>
      </c>
      <c r="C407" s="40" t="s">
        <v>151</v>
      </c>
      <c r="D407" s="39" t="s">
        <v>265</v>
      </c>
      <c r="E407" s="40" t="s">
        <v>168</v>
      </c>
      <c r="F407" s="39" t="s">
        <v>44</v>
      </c>
      <c r="G407" s="74" t="s">
        <v>203</v>
      </c>
      <c r="H407" s="148">
        <f>1200+1000</f>
        <v>2200</v>
      </c>
      <c r="I407" s="52"/>
    </row>
    <row r="408" spans="1:9" ht="15.75">
      <c r="A408" s="52" t="s">
        <v>100</v>
      </c>
      <c r="B408" s="92" t="s">
        <v>278</v>
      </c>
      <c r="C408" s="31" t="s">
        <v>151</v>
      </c>
      <c r="D408" s="30" t="s">
        <v>265</v>
      </c>
      <c r="E408" s="31" t="s">
        <v>101</v>
      </c>
      <c r="F408" s="30"/>
      <c r="G408" s="63" t="s">
        <v>44</v>
      </c>
      <c r="H408" s="148">
        <f>H409</f>
        <v>2445.5</v>
      </c>
      <c r="I408" s="52"/>
    </row>
    <row r="409" spans="1:9" ht="43.5">
      <c r="A409" s="142" t="s">
        <v>303</v>
      </c>
      <c r="B409" s="92" t="s">
        <v>278</v>
      </c>
      <c r="C409" s="31" t="s">
        <v>151</v>
      </c>
      <c r="D409" s="30" t="s">
        <v>265</v>
      </c>
      <c r="E409" s="31" t="s">
        <v>282</v>
      </c>
      <c r="F409" s="30"/>
      <c r="G409" s="63" t="s">
        <v>44</v>
      </c>
      <c r="H409" s="148">
        <f>H410</f>
        <v>2445.5</v>
      </c>
      <c r="I409" s="52"/>
    </row>
    <row r="410" spans="1:9" ht="15.75">
      <c r="A410" s="52" t="s">
        <v>115</v>
      </c>
      <c r="B410" s="92" t="s">
        <v>278</v>
      </c>
      <c r="C410" s="31" t="s">
        <v>151</v>
      </c>
      <c r="D410" s="30" t="s">
        <v>265</v>
      </c>
      <c r="E410" s="31" t="s">
        <v>282</v>
      </c>
      <c r="F410" s="30"/>
      <c r="G410" s="61" t="s">
        <v>203</v>
      </c>
      <c r="H410" s="148">
        <v>2445.5</v>
      </c>
      <c r="I410" s="52"/>
    </row>
    <row r="411" spans="1:9" ht="15.75">
      <c r="A411" s="37" t="s">
        <v>51</v>
      </c>
      <c r="B411" s="93" t="s">
        <v>278</v>
      </c>
      <c r="C411" s="64" t="s">
        <v>153</v>
      </c>
      <c r="D411" s="38" t="s">
        <v>96</v>
      </c>
      <c r="E411" s="35" t="s">
        <v>42</v>
      </c>
      <c r="F411" s="34"/>
      <c r="G411" s="156" t="s">
        <v>44</v>
      </c>
      <c r="H411" s="254">
        <f>H412</f>
        <v>120</v>
      </c>
      <c r="I411" s="37"/>
    </row>
    <row r="412" spans="1:9" ht="15.75">
      <c r="A412" s="166" t="s">
        <v>52</v>
      </c>
      <c r="B412" s="93" t="s">
        <v>278</v>
      </c>
      <c r="C412" s="64" t="s">
        <v>153</v>
      </c>
      <c r="D412" s="38" t="s">
        <v>154</v>
      </c>
      <c r="E412" s="35" t="s">
        <v>42</v>
      </c>
      <c r="F412" s="34"/>
      <c r="G412" s="105" t="s">
        <v>44</v>
      </c>
      <c r="H412" s="254">
        <f>H413</f>
        <v>120</v>
      </c>
      <c r="I412" s="37"/>
    </row>
    <row r="413" spans="1:9" ht="31.5" customHeight="1">
      <c r="A413" s="142" t="s">
        <v>86</v>
      </c>
      <c r="B413" s="92" t="s">
        <v>278</v>
      </c>
      <c r="C413" s="54" t="s">
        <v>153</v>
      </c>
      <c r="D413" s="30" t="s">
        <v>154</v>
      </c>
      <c r="E413" s="31" t="s">
        <v>58</v>
      </c>
      <c r="F413" s="30"/>
      <c r="G413" s="63" t="s">
        <v>44</v>
      </c>
      <c r="H413" s="148">
        <f>H414</f>
        <v>120</v>
      </c>
      <c r="I413" s="52"/>
    </row>
    <row r="414" spans="1:9" ht="15.75">
      <c r="A414" s="143" t="s">
        <v>240</v>
      </c>
      <c r="B414" s="92" t="s">
        <v>278</v>
      </c>
      <c r="C414" s="54" t="s">
        <v>153</v>
      </c>
      <c r="D414" s="39" t="s">
        <v>154</v>
      </c>
      <c r="E414" s="40" t="s">
        <v>241</v>
      </c>
      <c r="F414" s="39"/>
      <c r="G414" s="63" t="s">
        <v>44</v>
      </c>
      <c r="H414" s="148">
        <f>H415</f>
        <v>120</v>
      </c>
      <c r="I414" s="52"/>
    </row>
    <row r="415" spans="1:9" ht="15.75">
      <c r="A415" s="144" t="s">
        <v>115</v>
      </c>
      <c r="B415" s="92" t="s">
        <v>278</v>
      </c>
      <c r="C415" s="54" t="s">
        <v>153</v>
      </c>
      <c r="D415" s="39" t="s">
        <v>154</v>
      </c>
      <c r="E415" s="40" t="s">
        <v>241</v>
      </c>
      <c r="F415" s="39"/>
      <c r="G415" s="62" t="s">
        <v>203</v>
      </c>
      <c r="H415" s="148">
        <v>120</v>
      </c>
      <c r="I415" s="52"/>
    </row>
    <row r="416" spans="1:9" ht="15.75">
      <c r="A416" s="37" t="s">
        <v>21</v>
      </c>
      <c r="B416" s="89" t="s">
        <v>278</v>
      </c>
      <c r="C416" s="35" t="s">
        <v>165</v>
      </c>
      <c r="D416" s="34" t="s">
        <v>96</v>
      </c>
      <c r="E416" s="35" t="s">
        <v>42</v>
      </c>
      <c r="F416" s="34"/>
      <c r="G416" s="94" t="s">
        <v>44</v>
      </c>
      <c r="H416" s="254">
        <f>H417</f>
        <v>2683</v>
      </c>
      <c r="I416" s="36">
        <f>I417</f>
        <v>0</v>
      </c>
    </row>
    <row r="417" spans="1:9" ht="15.75">
      <c r="A417" s="166" t="s">
        <v>54</v>
      </c>
      <c r="B417" s="89" t="s">
        <v>278</v>
      </c>
      <c r="C417" s="64" t="s">
        <v>165</v>
      </c>
      <c r="D417" s="38" t="s">
        <v>151</v>
      </c>
      <c r="E417" s="35" t="s">
        <v>42</v>
      </c>
      <c r="F417" s="38"/>
      <c r="G417" s="104" t="s">
        <v>44</v>
      </c>
      <c r="H417" s="253">
        <f>H418</f>
        <v>2683</v>
      </c>
      <c r="I417" s="66">
        <f>I418</f>
        <v>0</v>
      </c>
    </row>
    <row r="418" spans="1:9" ht="15.75">
      <c r="A418" s="52" t="s">
        <v>22</v>
      </c>
      <c r="B418" s="102" t="s">
        <v>278</v>
      </c>
      <c r="C418" s="31" t="s">
        <v>165</v>
      </c>
      <c r="D418" s="30" t="s">
        <v>151</v>
      </c>
      <c r="E418" s="31" t="s">
        <v>23</v>
      </c>
      <c r="F418" s="30"/>
      <c r="G418" s="63" t="s">
        <v>44</v>
      </c>
      <c r="H418" s="148">
        <f>H419</f>
        <v>2683</v>
      </c>
      <c r="I418" s="32"/>
    </row>
    <row r="419" spans="1:9" ht="15.75">
      <c r="A419" s="142" t="s">
        <v>166</v>
      </c>
      <c r="B419" s="102" t="s">
        <v>278</v>
      </c>
      <c r="C419" s="31" t="s">
        <v>165</v>
      </c>
      <c r="D419" s="30" t="s">
        <v>151</v>
      </c>
      <c r="E419" s="31" t="s">
        <v>167</v>
      </c>
      <c r="F419" s="30"/>
      <c r="G419" s="63" t="s">
        <v>44</v>
      </c>
      <c r="H419" s="148">
        <f>H420</f>
        <v>2683</v>
      </c>
      <c r="I419" s="32"/>
    </row>
    <row r="420" spans="1:9" ht="15.75" customHeight="1">
      <c r="A420" s="144" t="s">
        <v>115</v>
      </c>
      <c r="B420" s="102" t="s">
        <v>278</v>
      </c>
      <c r="C420" s="31" t="s">
        <v>165</v>
      </c>
      <c r="D420" s="30" t="s">
        <v>151</v>
      </c>
      <c r="E420" s="31" t="s">
        <v>167</v>
      </c>
      <c r="F420" s="30"/>
      <c r="G420" s="74" t="s">
        <v>203</v>
      </c>
      <c r="H420" s="148">
        <f>2200+220+263</f>
        <v>2683</v>
      </c>
      <c r="I420" s="32"/>
    </row>
    <row r="421" spans="1:9" ht="14.25" customHeight="1">
      <c r="A421" s="37" t="s">
        <v>5</v>
      </c>
      <c r="B421" s="89" t="s">
        <v>278</v>
      </c>
      <c r="C421" s="35" t="s">
        <v>158</v>
      </c>
      <c r="D421" s="93" t="s">
        <v>96</v>
      </c>
      <c r="E421" s="35" t="s">
        <v>42</v>
      </c>
      <c r="F421" s="34"/>
      <c r="G421" s="112" t="s">
        <v>44</v>
      </c>
      <c r="H421" s="254">
        <f>H422</f>
        <v>68719.8</v>
      </c>
      <c r="I421" s="36">
        <f>I422</f>
        <v>63653.4</v>
      </c>
    </row>
    <row r="422" spans="1:9" ht="16.5" customHeight="1">
      <c r="A422" s="52" t="s">
        <v>76</v>
      </c>
      <c r="B422" s="92" t="s">
        <v>278</v>
      </c>
      <c r="C422" s="31" t="s">
        <v>158</v>
      </c>
      <c r="D422" s="92" t="s">
        <v>156</v>
      </c>
      <c r="E422" s="31" t="s">
        <v>42</v>
      </c>
      <c r="F422" s="30"/>
      <c r="G422" s="74" t="s">
        <v>44</v>
      </c>
      <c r="H422" s="148">
        <f>H427+H435+H423</f>
        <v>68719.8</v>
      </c>
      <c r="I422" s="32">
        <f>I427+I435+I423</f>
        <v>63653.4</v>
      </c>
    </row>
    <row r="423" spans="1:9" ht="16.5" customHeight="1">
      <c r="A423" s="52" t="s">
        <v>377</v>
      </c>
      <c r="B423" s="92" t="s">
        <v>278</v>
      </c>
      <c r="C423" s="31" t="s">
        <v>158</v>
      </c>
      <c r="D423" s="92" t="s">
        <v>156</v>
      </c>
      <c r="E423" s="31" t="s">
        <v>376</v>
      </c>
      <c r="F423" s="30"/>
      <c r="G423" s="74" t="s">
        <v>44</v>
      </c>
      <c r="H423" s="148">
        <f aca="true" t="shared" si="16" ref="H423:I425">H424</f>
        <v>57719</v>
      </c>
      <c r="I423" s="32">
        <f t="shared" si="16"/>
        <v>57719</v>
      </c>
    </row>
    <row r="424" spans="1:9" ht="20.25" customHeight="1">
      <c r="A424" s="142" t="s">
        <v>379</v>
      </c>
      <c r="B424" s="92" t="s">
        <v>278</v>
      </c>
      <c r="C424" s="31" t="s">
        <v>158</v>
      </c>
      <c r="D424" s="92" t="s">
        <v>156</v>
      </c>
      <c r="E424" s="31" t="s">
        <v>378</v>
      </c>
      <c r="F424" s="30"/>
      <c r="G424" s="74" t="s">
        <v>44</v>
      </c>
      <c r="H424" s="148">
        <f t="shared" si="16"/>
        <v>57719</v>
      </c>
      <c r="I424" s="32">
        <f t="shared" si="16"/>
        <v>57719</v>
      </c>
    </row>
    <row r="425" spans="1:9" ht="36.75" customHeight="1">
      <c r="A425" s="142" t="s">
        <v>397</v>
      </c>
      <c r="B425" s="92" t="s">
        <v>278</v>
      </c>
      <c r="C425" s="31" t="s">
        <v>158</v>
      </c>
      <c r="D425" s="92" t="s">
        <v>156</v>
      </c>
      <c r="E425" s="31" t="s">
        <v>396</v>
      </c>
      <c r="F425" s="30"/>
      <c r="G425" s="74" t="s">
        <v>44</v>
      </c>
      <c r="H425" s="148">
        <f t="shared" si="16"/>
        <v>57719</v>
      </c>
      <c r="I425" s="32">
        <f t="shared" si="16"/>
        <v>57719</v>
      </c>
    </row>
    <row r="426" spans="1:9" ht="16.5" customHeight="1">
      <c r="A426" s="127" t="s">
        <v>134</v>
      </c>
      <c r="B426" s="92" t="s">
        <v>278</v>
      </c>
      <c r="C426" s="31" t="s">
        <v>158</v>
      </c>
      <c r="D426" s="92" t="s">
        <v>156</v>
      </c>
      <c r="E426" s="31" t="s">
        <v>396</v>
      </c>
      <c r="F426" s="30"/>
      <c r="G426" s="74" t="s">
        <v>46</v>
      </c>
      <c r="H426" s="148">
        <v>57719</v>
      </c>
      <c r="I426" s="32">
        <v>57719</v>
      </c>
    </row>
    <row r="427" spans="1:9" ht="15.75" customHeight="1">
      <c r="A427" s="52" t="s">
        <v>189</v>
      </c>
      <c r="B427" s="102" t="s">
        <v>278</v>
      </c>
      <c r="C427" s="31" t="s">
        <v>158</v>
      </c>
      <c r="D427" s="92" t="s">
        <v>156</v>
      </c>
      <c r="E427" s="31" t="s">
        <v>70</v>
      </c>
      <c r="F427" s="30"/>
      <c r="G427" s="63" t="s">
        <v>44</v>
      </c>
      <c r="H427" s="148">
        <f>H433+H428</f>
        <v>9292.2</v>
      </c>
      <c r="I427" s="32">
        <f>I433+I428</f>
        <v>5934.4</v>
      </c>
    </row>
    <row r="428" spans="1:9" ht="117.75" customHeight="1">
      <c r="A428" s="142" t="s">
        <v>382</v>
      </c>
      <c r="B428" s="102" t="s">
        <v>278</v>
      </c>
      <c r="C428" s="54" t="s">
        <v>158</v>
      </c>
      <c r="D428" s="30" t="s">
        <v>156</v>
      </c>
      <c r="E428" s="31" t="s">
        <v>383</v>
      </c>
      <c r="F428" s="30"/>
      <c r="G428" s="63" t="s">
        <v>44</v>
      </c>
      <c r="H428" s="148">
        <f>H429+H431</f>
        <v>6450.200000000001</v>
      </c>
      <c r="I428" s="32">
        <f>I429+I431</f>
        <v>3092.4</v>
      </c>
    </row>
    <row r="429" spans="1:9" ht="80.25" customHeight="1">
      <c r="A429" s="142" t="s">
        <v>389</v>
      </c>
      <c r="B429" s="102" t="s">
        <v>278</v>
      </c>
      <c r="C429" s="54" t="s">
        <v>158</v>
      </c>
      <c r="D429" s="30" t="s">
        <v>156</v>
      </c>
      <c r="E429" s="31" t="s">
        <v>384</v>
      </c>
      <c r="F429" s="30"/>
      <c r="G429" s="63" t="s">
        <v>44</v>
      </c>
      <c r="H429" s="148">
        <f>H430</f>
        <v>0</v>
      </c>
      <c r="I429" s="32">
        <f>I430</f>
        <v>0</v>
      </c>
    </row>
    <row r="430" spans="1:9" ht="15.75" customHeight="1">
      <c r="A430" s="127" t="s">
        <v>134</v>
      </c>
      <c r="B430" s="102" t="s">
        <v>278</v>
      </c>
      <c r="C430" s="54" t="s">
        <v>158</v>
      </c>
      <c r="D430" s="30" t="s">
        <v>156</v>
      </c>
      <c r="E430" s="31" t="s">
        <v>384</v>
      </c>
      <c r="F430" s="30"/>
      <c r="G430" s="61" t="s">
        <v>46</v>
      </c>
      <c r="H430" s="148">
        <f>3092.4-3092.4</f>
        <v>0</v>
      </c>
      <c r="I430" s="32">
        <f>3092.4-3092.4</f>
        <v>0</v>
      </c>
    </row>
    <row r="431" spans="1:9" ht="62.25" customHeight="1">
      <c r="A431" s="142" t="s">
        <v>390</v>
      </c>
      <c r="B431" s="102" t="s">
        <v>278</v>
      </c>
      <c r="C431" s="54" t="s">
        <v>158</v>
      </c>
      <c r="D431" s="30" t="s">
        <v>156</v>
      </c>
      <c r="E431" s="31" t="s">
        <v>385</v>
      </c>
      <c r="F431" s="30"/>
      <c r="G431" s="63" t="s">
        <v>44</v>
      </c>
      <c r="H431" s="148">
        <f>H432</f>
        <v>6450.200000000001</v>
      </c>
      <c r="I431" s="32">
        <f>I432</f>
        <v>3092.4</v>
      </c>
    </row>
    <row r="432" spans="1:9" ht="15.75" customHeight="1">
      <c r="A432" s="127" t="s">
        <v>134</v>
      </c>
      <c r="B432" s="102" t="s">
        <v>278</v>
      </c>
      <c r="C432" s="54" t="s">
        <v>158</v>
      </c>
      <c r="D432" s="30" t="s">
        <v>156</v>
      </c>
      <c r="E432" s="31" t="s">
        <v>385</v>
      </c>
      <c r="F432" s="30"/>
      <c r="G432" s="63" t="s">
        <v>46</v>
      </c>
      <c r="H432" s="148">
        <f>3092.4+3357.8</f>
        <v>6450.200000000001</v>
      </c>
      <c r="I432" s="32">
        <v>3092.4</v>
      </c>
    </row>
    <row r="433" spans="1:9" ht="66.75" customHeight="1">
      <c r="A433" s="142" t="s">
        <v>440</v>
      </c>
      <c r="B433" s="102" t="s">
        <v>278</v>
      </c>
      <c r="C433" s="54" t="s">
        <v>158</v>
      </c>
      <c r="D433" s="30" t="s">
        <v>156</v>
      </c>
      <c r="E433" s="31" t="s">
        <v>414</v>
      </c>
      <c r="F433" s="30"/>
      <c r="G433" s="63" t="s">
        <v>44</v>
      </c>
      <c r="H433" s="148">
        <f>H434</f>
        <v>2842</v>
      </c>
      <c r="I433" s="32">
        <f>I434</f>
        <v>2842</v>
      </c>
    </row>
    <row r="434" spans="1:9" ht="15" customHeight="1">
      <c r="A434" s="144" t="s">
        <v>171</v>
      </c>
      <c r="B434" s="102" t="s">
        <v>278</v>
      </c>
      <c r="C434" s="54" t="s">
        <v>158</v>
      </c>
      <c r="D434" s="30" t="s">
        <v>156</v>
      </c>
      <c r="E434" s="31" t="s">
        <v>414</v>
      </c>
      <c r="F434" s="30"/>
      <c r="G434" s="61" t="s">
        <v>53</v>
      </c>
      <c r="H434" s="148">
        <v>2842</v>
      </c>
      <c r="I434" s="32">
        <v>2842</v>
      </c>
    </row>
    <row r="435" spans="1:9" ht="14.25" customHeight="1">
      <c r="A435" s="52" t="s">
        <v>100</v>
      </c>
      <c r="B435" s="102" t="s">
        <v>278</v>
      </c>
      <c r="C435" s="54" t="s">
        <v>158</v>
      </c>
      <c r="D435" s="30" t="s">
        <v>156</v>
      </c>
      <c r="E435" s="31" t="s">
        <v>101</v>
      </c>
      <c r="F435" s="82"/>
      <c r="G435" s="63" t="s">
        <v>44</v>
      </c>
      <c r="H435" s="148">
        <f>H436</f>
        <v>1708.6</v>
      </c>
      <c r="I435" s="32"/>
    </row>
    <row r="436" spans="1:9" ht="27.75" customHeight="1">
      <c r="A436" s="168" t="s">
        <v>309</v>
      </c>
      <c r="B436" s="102" t="s">
        <v>278</v>
      </c>
      <c r="C436" s="54" t="s">
        <v>158</v>
      </c>
      <c r="D436" s="30" t="s">
        <v>156</v>
      </c>
      <c r="E436" s="31" t="s">
        <v>208</v>
      </c>
      <c r="F436" s="82"/>
      <c r="G436" s="63" t="s">
        <v>44</v>
      </c>
      <c r="H436" s="148">
        <f>H437</f>
        <v>1708.6</v>
      </c>
      <c r="I436" s="32"/>
    </row>
    <row r="437" spans="1:9" ht="18.75" customHeight="1" thickBot="1">
      <c r="A437" s="161" t="s">
        <v>115</v>
      </c>
      <c r="B437" s="72" t="s">
        <v>278</v>
      </c>
      <c r="C437" s="68" t="s">
        <v>158</v>
      </c>
      <c r="D437" s="39" t="s">
        <v>156</v>
      </c>
      <c r="E437" s="40" t="s">
        <v>208</v>
      </c>
      <c r="F437" s="99"/>
      <c r="G437" s="123" t="s">
        <v>203</v>
      </c>
      <c r="H437" s="255">
        <f>364+1344.6</f>
        <v>1708.6</v>
      </c>
      <c r="I437" s="41"/>
    </row>
    <row r="438" spans="1:9" ht="39.75" customHeight="1" thickBot="1">
      <c r="A438" s="171" t="s">
        <v>316</v>
      </c>
      <c r="B438" s="24" t="s">
        <v>279</v>
      </c>
      <c r="C438" s="24" t="s">
        <v>96</v>
      </c>
      <c r="D438" s="24" t="s">
        <v>96</v>
      </c>
      <c r="E438" s="24" t="s">
        <v>42</v>
      </c>
      <c r="F438" s="116"/>
      <c r="G438" s="88" t="s">
        <v>44</v>
      </c>
      <c r="H438" s="146">
        <f aca="true" t="shared" si="17" ref="H438:I440">H439</f>
        <v>19928</v>
      </c>
      <c r="I438" s="25">
        <f t="shared" si="17"/>
        <v>1065</v>
      </c>
    </row>
    <row r="439" spans="1:9" ht="30.75" customHeight="1" thickBot="1">
      <c r="A439" s="176" t="s">
        <v>90</v>
      </c>
      <c r="B439" s="24" t="s">
        <v>279</v>
      </c>
      <c r="C439" s="24" t="s">
        <v>156</v>
      </c>
      <c r="D439" s="24" t="s">
        <v>96</v>
      </c>
      <c r="E439" s="24" t="s">
        <v>42</v>
      </c>
      <c r="F439" s="116"/>
      <c r="G439" s="88" t="s">
        <v>44</v>
      </c>
      <c r="H439" s="25">
        <f>H440+H456</f>
        <v>19928</v>
      </c>
      <c r="I439" s="25">
        <f>I440+I456</f>
        <v>1065</v>
      </c>
    </row>
    <row r="440" spans="1:9" ht="15.75">
      <c r="A440" s="166" t="s">
        <v>18</v>
      </c>
      <c r="B440" s="79" t="s">
        <v>279</v>
      </c>
      <c r="C440" s="79" t="s">
        <v>156</v>
      </c>
      <c r="D440" s="79" t="s">
        <v>152</v>
      </c>
      <c r="E440" s="64" t="s">
        <v>42</v>
      </c>
      <c r="F440" s="78"/>
      <c r="G440" s="155" t="s">
        <v>44</v>
      </c>
      <c r="H440" s="91">
        <f t="shared" si="17"/>
        <v>17832</v>
      </c>
      <c r="I440" s="91">
        <f t="shared" si="17"/>
        <v>1065</v>
      </c>
    </row>
    <row r="441" spans="1:9" ht="18.75" customHeight="1">
      <c r="A441" s="37" t="s">
        <v>67</v>
      </c>
      <c r="B441" s="35" t="s">
        <v>279</v>
      </c>
      <c r="C441" s="35" t="s">
        <v>156</v>
      </c>
      <c r="D441" s="35" t="s">
        <v>152</v>
      </c>
      <c r="E441" s="35" t="s">
        <v>47</v>
      </c>
      <c r="F441" s="34"/>
      <c r="G441" s="112" t="s">
        <v>44</v>
      </c>
      <c r="H441" s="36">
        <f>H442+H444+H446+H454+H451</f>
        <v>17832</v>
      </c>
      <c r="I441" s="36">
        <f>I442+I444+I446+I454+I451</f>
        <v>1065</v>
      </c>
    </row>
    <row r="442" spans="1:9" ht="57.75">
      <c r="A442" s="142" t="s">
        <v>122</v>
      </c>
      <c r="B442" s="31" t="s">
        <v>279</v>
      </c>
      <c r="C442" s="31" t="s">
        <v>156</v>
      </c>
      <c r="D442" s="31" t="s">
        <v>152</v>
      </c>
      <c r="E442" s="31" t="s">
        <v>121</v>
      </c>
      <c r="F442" s="30"/>
      <c r="G442" s="63" t="s">
        <v>44</v>
      </c>
      <c r="H442" s="32">
        <f>H443</f>
        <v>1065</v>
      </c>
      <c r="I442" s="32">
        <f>I443</f>
        <v>1065</v>
      </c>
    </row>
    <row r="443" spans="1:10" s="3" customFormat="1" ht="29.25">
      <c r="A443" s="142" t="s">
        <v>123</v>
      </c>
      <c r="B443" s="31" t="s">
        <v>279</v>
      </c>
      <c r="C443" s="31" t="s">
        <v>156</v>
      </c>
      <c r="D443" s="31" t="s">
        <v>152</v>
      </c>
      <c r="E443" s="31" t="s">
        <v>121</v>
      </c>
      <c r="F443" s="30"/>
      <c r="G443" s="63" t="s">
        <v>98</v>
      </c>
      <c r="H443" s="32">
        <f>1672-607</f>
        <v>1065</v>
      </c>
      <c r="I443" s="32">
        <f>1672-607</f>
        <v>1065</v>
      </c>
      <c r="J443"/>
    </row>
    <row r="444" spans="1:9" ht="15.75">
      <c r="A444" s="37" t="s">
        <v>124</v>
      </c>
      <c r="B444" s="35" t="s">
        <v>279</v>
      </c>
      <c r="C444" s="35" t="s">
        <v>156</v>
      </c>
      <c r="D444" s="35" t="s">
        <v>152</v>
      </c>
      <c r="E444" s="35" t="s">
        <v>125</v>
      </c>
      <c r="F444" s="34"/>
      <c r="G444" s="112" t="s">
        <v>44</v>
      </c>
      <c r="H444" s="36">
        <f>H445</f>
        <v>11972.4</v>
      </c>
      <c r="I444" s="36">
        <f>I445</f>
        <v>0</v>
      </c>
    </row>
    <row r="445" spans="1:9" ht="29.25">
      <c r="A445" s="142" t="s">
        <v>123</v>
      </c>
      <c r="B445" s="31" t="s">
        <v>279</v>
      </c>
      <c r="C445" s="31" t="s">
        <v>156</v>
      </c>
      <c r="D445" s="31" t="s">
        <v>152</v>
      </c>
      <c r="E445" s="31" t="s">
        <v>125</v>
      </c>
      <c r="F445" s="30"/>
      <c r="G445" s="63" t="s">
        <v>98</v>
      </c>
      <c r="H445" s="32">
        <f>12058.6-86.2</f>
        <v>11972.4</v>
      </c>
      <c r="I445" s="32"/>
    </row>
    <row r="446" spans="1:9" ht="30">
      <c r="A446" s="33" t="s">
        <v>127</v>
      </c>
      <c r="B446" s="35" t="s">
        <v>279</v>
      </c>
      <c r="C446" s="35" t="s">
        <v>156</v>
      </c>
      <c r="D446" s="35" t="s">
        <v>152</v>
      </c>
      <c r="E446" s="35" t="s">
        <v>128</v>
      </c>
      <c r="F446" s="34"/>
      <c r="G446" s="112" t="s">
        <v>44</v>
      </c>
      <c r="H446" s="36">
        <f>H447+H449</f>
        <v>4294.6</v>
      </c>
      <c r="I446" s="36">
        <f>I448</f>
        <v>0</v>
      </c>
    </row>
    <row r="447" spans="1:9" ht="15.75">
      <c r="A447" s="142" t="s">
        <v>129</v>
      </c>
      <c r="B447" s="31" t="s">
        <v>279</v>
      </c>
      <c r="C447" s="31" t="s">
        <v>156</v>
      </c>
      <c r="D447" s="31" t="s">
        <v>152</v>
      </c>
      <c r="E447" s="31" t="s">
        <v>130</v>
      </c>
      <c r="F447" s="30"/>
      <c r="G447" s="63" t="s">
        <v>44</v>
      </c>
      <c r="H447" s="32">
        <f>H448</f>
        <v>763.9000000000001</v>
      </c>
      <c r="I447" s="32"/>
    </row>
    <row r="448" spans="1:9" ht="29.25">
      <c r="A448" s="142" t="s">
        <v>123</v>
      </c>
      <c r="B448" s="31" t="s">
        <v>279</v>
      </c>
      <c r="C448" s="31" t="s">
        <v>156</v>
      </c>
      <c r="D448" s="31" t="s">
        <v>152</v>
      </c>
      <c r="E448" s="31" t="s">
        <v>130</v>
      </c>
      <c r="F448" s="30"/>
      <c r="G448" s="63" t="s">
        <v>98</v>
      </c>
      <c r="H448" s="32">
        <f>1066.9-303</f>
        <v>763.9000000000001</v>
      </c>
      <c r="I448" s="32"/>
    </row>
    <row r="449" spans="1:9" ht="33.75" customHeight="1">
      <c r="A449" s="142" t="s">
        <v>132</v>
      </c>
      <c r="B449" s="31" t="s">
        <v>279</v>
      </c>
      <c r="C449" s="31" t="s">
        <v>156</v>
      </c>
      <c r="D449" s="31" t="s">
        <v>152</v>
      </c>
      <c r="E449" s="31" t="s">
        <v>131</v>
      </c>
      <c r="F449" s="30"/>
      <c r="G449" s="63" t="s">
        <v>44</v>
      </c>
      <c r="H449" s="32">
        <f>H450</f>
        <v>3530.7</v>
      </c>
      <c r="I449" s="32">
        <f>I450</f>
        <v>0</v>
      </c>
    </row>
    <row r="450" spans="1:9" ht="29.25">
      <c r="A450" s="142" t="s">
        <v>123</v>
      </c>
      <c r="B450" s="31" t="s">
        <v>279</v>
      </c>
      <c r="C450" s="31" t="s">
        <v>156</v>
      </c>
      <c r="D450" s="31" t="s">
        <v>152</v>
      </c>
      <c r="E450" s="31" t="s">
        <v>131</v>
      </c>
      <c r="F450" s="30"/>
      <c r="G450" s="63" t="s">
        <v>98</v>
      </c>
      <c r="H450" s="32">
        <f>3241.5+289.2</f>
        <v>3530.7</v>
      </c>
      <c r="I450" s="32"/>
    </row>
    <row r="451" spans="1:9" ht="15.75">
      <c r="A451" s="37" t="s">
        <v>335</v>
      </c>
      <c r="B451" s="35" t="s">
        <v>279</v>
      </c>
      <c r="C451" s="35" t="s">
        <v>156</v>
      </c>
      <c r="D451" s="35" t="s">
        <v>152</v>
      </c>
      <c r="E451" s="35" t="s">
        <v>331</v>
      </c>
      <c r="F451" s="34"/>
      <c r="G451" s="112" t="s">
        <v>44</v>
      </c>
      <c r="H451" s="36">
        <f>H452</f>
        <v>100</v>
      </c>
      <c r="I451" s="36"/>
    </row>
    <row r="452" spans="1:9" ht="15.75">
      <c r="A452" s="142" t="s">
        <v>334</v>
      </c>
      <c r="B452" s="31" t="s">
        <v>279</v>
      </c>
      <c r="C452" s="31" t="s">
        <v>156</v>
      </c>
      <c r="D452" s="31" t="s">
        <v>152</v>
      </c>
      <c r="E452" s="31" t="s">
        <v>332</v>
      </c>
      <c r="F452" s="30"/>
      <c r="G452" s="63" t="s">
        <v>44</v>
      </c>
      <c r="H452" s="32">
        <f>H453</f>
        <v>100</v>
      </c>
      <c r="I452" s="32"/>
    </row>
    <row r="453" spans="1:9" ht="29.25">
      <c r="A453" s="142" t="s">
        <v>123</v>
      </c>
      <c r="B453" s="31" t="s">
        <v>279</v>
      </c>
      <c r="C453" s="31" t="s">
        <v>156</v>
      </c>
      <c r="D453" s="31" t="s">
        <v>152</v>
      </c>
      <c r="E453" s="31" t="s">
        <v>333</v>
      </c>
      <c r="F453" s="30"/>
      <c r="G453" s="63" t="s">
        <v>98</v>
      </c>
      <c r="H453" s="32">
        <v>100</v>
      </c>
      <c r="I453" s="32"/>
    </row>
    <row r="454" spans="1:9" ht="29.25">
      <c r="A454" s="142" t="s">
        <v>83</v>
      </c>
      <c r="B454" s="31" t="s">
        <v>279</v>
      </c>
      <c r="C454" s="31" t="s">
        <v>156</v>
      </c>
      <c r="D454" s="31" t="s">
        <v>152</v>
      </c>
      <c r="E454" s="31" t="s">
        <v>133</v>
      </c>
      <c r="F454" s="30"/>
      <c r="G454" s="63" t="s">
        <v>44</v>
      </c>
      <c r="H454" s="32">
        <f>H455</f>
        <v>400</v>
      </c>
      <c r="I454" s="32">
        <f>I455</f>
        <v>0</v>
      </c>
    </row>
    <row r="455" spans="1:9" ht="29.25">
      <c r="A455" s="142" t="s">
        <v>123</v>
      </c>
      <c r="B455" s="31" t="s">
        <v>279</v>
      </c>
      <c r="C455" s="31" t="s">
        <v>156</v>
      </c>
      <c r="D455" s="31" t="s">
        <v>152</v>
      </c>
      <c r="E455" s="31" t="s">
        <v>133</v>
      </c>
      <c r="F455" s="30"/>
      <c r="G455" s="63" t="s">
        <v>98</v>
      </c>
      <c r="H455" s="32">
        <f>400</f>
        <v>400</v>
      </c>
      <c r="I455" s="32"/>
    </row>
    <row r="456" spans="1:9" ht="30">
      <c r="A456" s="33" t="s">
        <v>84</v>
      </c>
      <c r="B456" s="35" t="s">
        <v>279</v>
      </c>
      <c r="C456" s="35" t="s">
        <v>156</v>
      </c>
      <c r="D456" s="35" t="s">
        <v>155</v>
      </c>
      <c r="E456" s="35" t="s">
        <v>42</v>
      </c>
      <c r="F456" s="34"/>
      <c r="G456" s="112" t="s">
        <v>44</v>
      </c>
      <c r="H456" s="36">
        <f>H457</f>
        <v>2096</v>
      </c>
      <c r="I456" s="36"/>
    </row>
    <row r="457" spans="1:9" ht="15.75">
      <c r="A457" s="52" t="s">
        <v>100</v>
      </c>
      <c r="B457" s="31" t="s">
        <v>279</v>
      </c>
      <c r="C457" s="31" t="s">
        <v>156</v>
      </c>
      <c r="D457" s="31" t="s">
        <v>155</v>
      </c>
      <c r="E457" s="31" t="s">
        <v>101</v>
      </c>
      <c r="F457" s="30"/>
      <c r="G457" s="63" t="s">
        <v>44</v>
      </c>
      <c r="H457" s="32">
        <f>H458</f>
        <v>2096</v>
      </c>
      <c r="I457" s="32"/>
    </row>
    <row r="458" spans="1:9" ht="43.5">
      <c r="A458" s="142" t="s">
        <v>244</v>
      </c>
      <c r="B458" s="31" t="s">
        <v>279</v>
      </c>
      <c r="C458" s="31" t="s">
        <v>156</v>
      </c>
      <c r="D458" s="31" t="s">
        <v>155</v>
      </c>
      <c r="E458" s="31" t="s">
        <v>197</v>
      </c>
      <c r="F458" s="30"/>
      <c r="G458" s="63" t="s">
        <v>44</v>
      </c>
      <c r="H458" s="32">
        <f>H459</f>
        <v>2096</v>
      </c>
      <c r="I458" s="32"/>
    </row>
    <row r="459" spans="1:9" ht="30" thickBot="1">
      <c r="A459" s="172" t="s">
        <v>123</v>
      </c>
      <c r="B459" s="43" t="s">
        <v>279</v>
      </c>
      <c r="C459" s="40" t="s">
        <v>156</v>
      </c>
      <c r="D459" s="43" t="s">
        <v>155</v>
      </c>
      <c r="E459" s="40" t="s">
        <v>197</v>
      </c>
      <c r="F459" s="39"/>
      <c r="G459" s="113" t="s">
        <v>98</v>
      </c>
      <c r="H459" s="41">
        <f>840+1256</f>
        <v>2096</v>
      </c>
      <c r="I459" s="44"/>
    </row>
    <row r="460" spans="1:9" ht="36.75" thickBot="1">
      <c r="A460" s="171" t="s">
        <v>317</v>
      </c>
      <c r="B460" s="87" t="s">
        <v>280</v>
      </c>
      <c r="C460" s="24" t="s">
        <v>96</v>
      </c>
      <c r="D460" s="22" t="s">
        <v>96</v>
      </c>
      <c r="E460" s="24" t="s">
        <v>42</v>
      </c>
      <c r="F460" s="22"/>
      <c r="G460" s="111" t="s">
        <v>44</v>
      </c>
      <c r="H460" s="25">
        <f aca="true" t="shared" si="18" ref="H460:I462">H461</f>
        <v>3125.5</v>
      </c>
      <c r="I460" s="25">
        <f t="shared" si="18"/>
        <v>0</v>
      </c>
    </row>
    <row r="461" spans="1:9" ht="15.75">
      <c r="A461" s="46" t="s">
        <v>15</v>
      </c>
      <c r="B461" s="106" t="s">
        <v>280</v>
      </c>
      <c r="C461" s="28" t="s">
        <v>151</v>
      </c>
      <c r="D461" s="27" t="s">
        <v>96</v>
      </c>
      <c r="E461" s="64" t="s">
        <v>42</v>
      </c>
      <c r="F461" s="27"/>
      <c r="G461" s="121" t="s">
        <v>44</v>
      </c>
      <c r="H461" s="29">
        <f>H462+H468</f>
        <v>3125.5</v>
      </c>
      <c r="I461" s="29">
        <f t="shared" si="18"/>
        <v>0</v>
      </c>
    </row>
    <row r="462" spans="1:9" ht="45">
      <c r="A462" s="33" t="s">
        <v>215</v>
      </c>
      <c r="B462" s="93" t="s">
        <v>280</v>
      </c>
      <c r="C462" s="35" t="s">
        <v>151</v>
      </c>
      <c r="D462" s="34" t="s">
        <v>156</v>
      </c>
      <c r="E462" s="35" t="s">
        <v>42</v>
      </c>
      <c r="F462" s="34"/>
      <c r="G462" s="112" t="s">
        <v>44</v>
      </c>
      <c r="H462" s="36">
        <f t="shared" si="18"/>
        <v>2916</v>
      </c>
      <c r="I462" s="36">
        <f t="shared" si="18"/>
        <v>0</v>
      </c>
    </row>
    <row r="463" spans="1:9" ht="43.5">
      <c r="A463" s="142" t="s">
        <v>212</v>
      </c>
      <c r="B463" s="92" t="s">
        <v>280</v>
      </c>
      <c r="C463" s="31" t="s">
        <v>151</v>
      </c>
      <c r="D463" s="30" t="s">
        <v>156</v>
      </c>
      <c r="E463" s="31" t="s">
        <v>202</v>
      </c>
      <c r="F463" s="30"/>
      <c r="G463" s="63" t="s">
        <v>44</v>
      </c>
      <c r="H463" s="32">
        <f>H466+H464</f>
        <v>2916</v>
      </c>
      <c r="I463" s="32">
        <f>I466</f>
        <v>0</v>
      </c>
    </row>
    <row r="464" spans="1:9" ht="15.75">
      <c r="A464" s="52" t="s">
        <v>45</v>
      </c>
      <c r="B464" s="92" t="s">
        <v>280</v>
      </c>
      <c r="C464" s="31" t="s">
        <v>151</v>
      </c>
      <c r="D464" s="30" t="s">
        <v>156</v>
      </c>
      <c r="E464" s="31" t="s">
        <v>204</v>
      </c>
      <c r="F464" s="30"/>
      <c r="G464" s="63" t="s">
        <v>44</v>
      </c>
      <c r="H464" s="32">
        <f>H465</f>
        <v>1626</v>
      </c>
      <c r="I464" s="32"/>
    </row>
    <row r="465" spans="1:9" ht="15.75">
      <c r="A465" s="144" t="s">
        <v>115</v>
      </c>
      <c r="B465" s="92" t="s">
        <v>280</v>
      </c>
      <c r="C465" s="31" t="s">
        <v>151</v>
      </c>
      <c r="D465" s="30" t="s">
        <v>156</v>
      </c>
      <c r="E465" s="31" t="s">
        <v>204</v>
      </c>
      <c r="F465" s="30"/>
      <c r="G465" s="63" t="s">
        <v>203</v>
      </c>
      <c r="H465" s="32">
        <f>2210-584</f>
        <v>1626</v>
      </c>
      <c r="I465" s="32"/>
    </row>
    <row r="466" spans="1:9" ht="29.25">
      <c r="A466" s="142" t="s">
        <v>216</v>
      </c>
      <c r="B466" s="92" t="s">
        <v>280</v>
      </c>
      <c r="C466" s="31" t="s">
        <v>151</v>
      </c>
      <c r="D466" s="30" t="s">
        <v>156</v>
      </c>
      <c r="E466" s="31" t="s">
        <v>217</v>
      </c>
      <c r="F466" s="30"/>
      <c r="G466" s="63" t="s">
        <v>44</v>
      </c>
      <c r="H466" s="32">
        <f>H467</f>
        <v>1290</v>
      </c>
      <c r="I466" s="32">
        <f>I467</f>
        <v>0</v>
      </c>
    </row>
    <row r="467" spans="1:9" ht="15.75">
      <c r="A467" s="52" t="s">
        <v>115</v>
      </c>
      <c r="B467" s="92" t="s">
        <v>280</v>
      </c>
      <c r="C467" s="31" t="s">
        <v>151</v>
      </c>
      <c r="D467" s="30" t="s">
        <v>156</v>
      </c>
      <c r="E467" s="31" t="s">
        <v>217</v>
      </c>
      <c r="F467" s="30"/>
      <c r="G467" s="63" t="s">
        <v>203</v>
      </c>
      <c r="H467" s="32">
        <f>1390-100</f>
        <v>1290</v>
      </c>
      <c r="I467" s="32"/>
    </row>
    <row r="468" spans="1:9" ht="15.75">
      <c r="A468" s="166" t="s">
        <v>62</v>
      </c>
      <c r="B468" s="89" t="s">
        <v>280</v>
      </c>
      <c r="C468" s="64" t="s">
        <v>151</v>
      </c>
      <c r="D468" s="38" t="s">
        <v>265</v>
      </c>
      <c r="E468" s="64" t="s">
        <v>42</v>
      </c>
      <c r="F468" s="38"/>
      <c r="G468" s="112" t="s">
        <v>44</v>
      </c>
      <c r="H468" s="91">
        <f>H469</f>
        <v>209.5</v>
      </c>
      <c r="I468" s="91"/>
    </row>
    <row r="469" spans="1:9" ht="15.75">
      <c r="A469" s="52" t="s">
        <v>100</v>
      </c>
      <c r="B469" s="92" t="s">
        <v>280</v>
      </c>
      <c r="C469" s="31" t="s">
        <v>151</v>
      </c>
      <c r="D469" s="30" t="s">
        <v>265</v>
      </c>
      <c r="E469" s="31" t="s">
        <v>101</v>
      </c>
      <c r="F469" s="30"/>
      <c r="G469" s="63" t="s">
        <v>44</v>
      </c>
      <c r="H469" s="32">
        <f>H470</f>
        <v>209.5</v>
      </c>
      <c r="I469" s="32"/>
    </row>
    <row r="470" spans="1:9" ht="43.5">
      <c r="A470" s="142" t="s">
        <v>303</v>
      </c>
      <c r="B470" s="92" t="s">
        <v>280</v>
      </c>
      <c r="C470" s="31" t="s">
        <v>151</v>
      </c>
      <c r="D470" s="30" t="s">
        <v>265</v>
      </c>
      <c r="E470" s="31" t="s">
        <v>282</v>
      </c>
      <c r="F470" s="30"/>
      <c r="G470" s="63" t="s">
        <v>44</v>
      </c>
      <c r="H470" s="32">
        <f>H471</f>
        <v>209.5</v>
      </c>
      <c r="I470" s="32"/>
    </row>
    <row r="471" spans="1:9" ht="18.75" customHeight="1">
      <c r="A471" s="52" t="s">
        <v>115</v>
      </c>
      <c r="B471" s="92" t="s">
        <v>280</v>
      </c>
      <c r="C471" s="31" t="s">
        <v>151</v>
      </c>
      <c r="D471" s="30" t="s">
        <v>265</v>
      </c>
      <c r="E471" s="31" t="s">
        <v>282</v>
      </c>
      <c r="F471" s="30"/>
      <c r="G471" s="63" t="s">
        <v>203</v>
      </c>
      <c r="H471" s="32">
        <f>280.5-71</f>
        <v>209.5</v>
      </c>
      <c r="I471" s="32"/>
    </row>
    <row r="472" spans="1:12" ht="44.25" customHeight="1" thickBot="1">
      <c r="A472" s="244" t="s">
        <v>56</v>
      </c>
      <c r="B472" s="245" t="s">
        <v>44</v>
      </c>
      <c r="C472" s="246" t="s">
        <v>43</v>
      </c>
      <c r="D472" s="247" t="s">
        <v>43</v>
      </c>
      <c r="E472" s="246" t="s">
        <v>42</v>
      </c>
      <c r="F472" s="247"/>
      <c r="G472" s="248" t="s">
        <v>44</v>
      </c>
      <c r="H472" s="246">
        <f>H11+H164+H247+H321+H368+H399+H438+H460+H390</f>
        <v>3114256.099999999</v>
      </c>
      <c r="I472" s="246">
        <f>I11+I164+I247+I321+I368+I399+I438+I460+I390</f>
        <v>1128196.7999999998</v>
      </c>
      <c r="K472" s="124"/>
      <c r="L472" s="124"/>
    </row>
    <row r="473" ht="15.75">
      <c r="L473" s="124"/>
    </row>
    <row r="477" ht="15" customHeight="1"/>
  </sheetData>
  <mergeCells count="15">
    <mergeCell ref="G9:G10"/>
    <mergeCell ref="B9:B10"/>
    <mergeCell ref="C9:C10"/>
    <mergeCell ref="D9:D10"/>
    <mergeCell ref="E9:E10"/>
    <mergeCell ref="H9:H10"/>
    <mergeCell ref="H1:I1"/>
    <mergeCell ref="G2:I2"/>
    <mergeCell ref="G4:I4"/>
    <mergeCell ref="G5:I5"/>
    <mergeCell ref="I9:I10"/>
    <mergeCell ref="G6:I6"/>
    <mergeCell ref="G3:I3"/>
    <mergeCell ref="A7:I7"/>
    <mergeCell ref="A9:A10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2011-12-07T06:39:32Z</cp:lastPrinted>
  <dcterms:created xsi:type="dcterms:W3CDTF">2002-11-11T07:39:40Z</dcterms:created>
  <dcterms:modified xsi:type="dcterms:W3CDTF">2011-12-07T07:14:08Z</dcterms:modified>
  <cp:category/>
  <cp:version/>
  <cp:contentType/>
  <cp:contentStatus/>
</cp:coreProperties>
</file>