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<sst xmlns="http://schemas.openxmlformats.org/spreadsheetml/2006/main" count="3845" uniqueCount="462">
  <si>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</si>
  <si>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</si>
  <si>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</si>
  <si>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</si>
  <si>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</si>
  <si>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</si>
  <si>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</si>
  <si>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</si>
  <si>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</si>
  <si>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</si>
  <si>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</si>
  <si>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</si>
  <si>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</si>
  <si>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</si>
  <si>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</si>
  <si>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</si>
  <si>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</si>
  <si>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</si>
  <si>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</si>
  <si>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</si>
  <si>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</si>
  <si>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</si>
  <si>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</si>
  <si>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</si>
  <si>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</si>
  <si>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</si>
  <si>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</si>
  <si>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</si>
  <si>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</si>
  <si>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</si>
  <si>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</si>
  <si>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</si>
  <si>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</si>
  <si>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</si>
  <si>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</si>
  <si>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</si>
  <si>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</si>
  <si>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</si>
  <si>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</si>
  <si>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450 00 00</t>
  </si>
  <si>
    <t>452 00 00</t>
  </si>
  <si>
    <t>Больницы, клиники, госпитали,медико-санитарные части</t>
  </si>
  <si>
    <t>470 00 00</t>
  </si>
  <si>
    <t>Охрана окружающей среды</t>
  </si>
  <si>
    <t>Другие вопросы в области охраны окружающей среды</t>
  </si>
  <si>
    <t>Другие вопросы в области здравоохранения и спорта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</si>
  <si>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</si>
  <si>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</si>
  <si>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</si>
  <si>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</si>
  <si>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</si>
  <si>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</si>
  <si>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</si>
  <si>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Вещевое обеспечение</t>
  </si>
  <si>
    <t>Поддержка коммунального хозяйства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</si>
  <si>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</si>
  <si>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</si>
  <si>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</si>
  <si>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</si>
  <si>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</si>
  <si>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</si>
  <si>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</si>
  <si>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</si>
  <si>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</si>
  <si>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Национальная экономика</t>
  </si>
  <si>
    <t>Другие вопросы в области национальной экономики</t>
  </si>
  <si>
    <t>003</t>
  </si>
  <si>
    <t>004</t>
  </si>
  <si>
    <t>Жилищное хозяйство</t>
  </si>
  <si>
    <t>102 00 00</t>
  </si>
  <si>
    <t>214</t>
  </si>
  <si>
    <t>ИТОГО РАСХОДОВ</t>
  </si>
  <si>
    <t>ВСЕГО РАСХОДОВ</t>
  </si>
  <si>
    <t>351 00 00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</si>
  <si>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</si>
  <si>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</si>
  <si>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</si>
  <si>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</si>
  <si>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</si>
  <si>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</si>
  <si>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</si>
  <si>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</si>
  <si>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</si>
  <si>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</si>
  <si>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</si>
  <si>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</si>
  <si>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007</t>
  </si>
  <si>
    <t>в том числе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</si>
  <si>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</si>
  <si>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</si>
  <si>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</si>
  <si>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</si>
  <si>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</si>
  <si>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</si>
  <si>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</si>
  <si>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Ежемесячное денежное вознаграждение за классное руководство</t>
  </si>
  <si>
    <t>Транспорт</t>
  </si>
  <si>
    <t>Дорожное хозяйство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</si>
  <si>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</si>
  <si>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</si>
  <si>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</si>
  <si>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</si>
  <si>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</si>
  <si>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</si>
  <si>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</si>
  <si>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</si>
  <si>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</si>
  <si>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</si>
  <si>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Школы-детские сады,школы начальные,неполные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</si>
  <si>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</si>
  <si>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</si>
  <si>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</si>
  <si>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</si>
  <si>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</si>
  <si>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</si>
  <si>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</si>
  <si>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</si>
  <si>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</si>
  <si>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</si>
  <si>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 xml:space="preserve"> Комитет по управлению имуществом г. Долгопрудный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</si>
  <si>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</si>
  <si>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</si>
  <si>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</si>
  <si>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</si>
  <si>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</si>
  <si>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</si>
  <si>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</si>
  <si>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</si>
  <si>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</si>
  <si>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</si>
  <si>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</si>
  <si>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</si>
  <si>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</si>
  <si>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</si>
  <si>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</si>
  <si>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</si>
  <si>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</si>
  <si>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</si>
  <si>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</si>
  <si>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</si>
  <si>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</si>
  <si>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</si>
  <si>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</si>
  <si>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</si>
  <si>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</si>
  <si>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</si>
  <si>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</si>
  <si>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</si>
  <si>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</si>
  <si>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</si>
  <si>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</si>
  <si>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</si>
  <si>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</si>
  <si>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</si>
  <si>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</si>
  <si>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</si>
  <si>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</si>
  <si>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</si>
  <si>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</si>
  <si>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</si>
  <si>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202 72 00</t>
  </si>
  <si>
    <t>Компенсация стоимости вещевого имущества</t>
  </si>
  <si>
    <t>202 72 03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</si>
  <si>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</si>
  <si>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</si>
  <si>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</si>
  <si>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</si>
  <si>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</si>
  <si>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</si>
  <si>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</si>
  <si>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</si>
  <si>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</si>
  <si>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</si>
  <si>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</si>
  <si>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</si>
  <si>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</si>
  <si>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</si>
  <si>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Субсидии юридическим лицам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</si>
  <si>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</si>
  <si>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</si>
  <si>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</si>
  <si>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</si>
  <si>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</si>
  <si>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</si>
  <si>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</si>
  <si>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</si>
  <si>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</si>
  <si>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</si>
  <si>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</si>
  <si>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</si>
  <si>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</si>
  <si>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</si>
  <si>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</si>
  <si>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</si>
  <si>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</si>
  <si>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</si>
  <si>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</si>
  <si>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</si>
  <si>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</si>
  <si>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</si>
  <si>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</si>
  <si>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</si>
  <si>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</si>
  <si>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</si>
  <si>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</si>
  <si>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</t>
  </si>
  <si>
    <t>420 99 00</t>
  </si>
  <si>
    <t>421 99 00</t>
  </si>
  <si>
    <t>423 99 00</t>
  </si>
  <si>
    <t>520 09 00</t>
  </si>
  <si>
    <t>431 01 00</t>
  </si>
  <si>
    <t>Мероприятия по проведению оздоровительной компании детей</t>
  </si>
  <si>
    <t xml:space="preserve">Оздоровление детей </t>
  </si>
  <si>
    <t>432 02 00</t>
  </si>
  <si>
    <t>452 99 00</t>
  </si>
  <si>
    <t>Муниципальная комплексная  программа "Дети Долгопрудного"  на среднесрочную перспективу 2007-2010 годы</t>
  </si>
  <si>
    <t>795 01 00</t>
  </si>
  <si>
    <t>795 02 00</t>
  </si>
  <si>
    <t>440 99 00</t>
  </si>
  <si>
    <t>441 99 00</t>
  </si>
  <si>
    <t>442 99 00</t>
  </si>
  <si>
    <t>443 99 00</t>
  </si>
  <si>
    <t>450 85 00</t>
  </si>
  <si>
    <t>Здравоохранение физическая культура и спорт</t>
  </si>
  <si>
    <t>Стационарная медицинская помощь</t>
  </si>
  <si>
    <t>470 99 00</t>
  </si>
  <si>
    <t>Физическая культура и спорт</t>
  </si>
  <si>
    <t>482 99 00</t>
  </si>
  <si>
    <t>Другие вопросы в области здравоохранения физической культуры и спорта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</si>
  <si>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</si>
  <si>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</si>
  <si>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</si>
  <si>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</si>
  <si>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</si>
  <si>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Оказание адресной материальной помощи гражданам, находящимся в трудной жизненной ситуации</t>
  </si>
  <si>
    <t>505 48 00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</si>
  <si>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</si>
  <si>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</si>
  <si>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Муниципальная целевая программа "Социальная поддержка населения г. Долгопрудного на 2007-2009 годы"</t>
  </si>
  <si>
    <t>795 03 00</t>
  </si>
  <si>
    <t>795 04 00</t>
  </si>
  <si>
    <t>за счет межбюджетных трансфертов</t>
  </si>
  <si>
    <t>Здравоохранение,физическая культура и спорт</t>
  </si>
  <si>
    <t>Культура,кинематография , средства массовой информации</t>
  </si>
  <si>
    <t>795 05 00</t>
  </si>
  <si>
    <t>Муниципальная   программа "Развитие сферы культуры г. Долгопрудного  на среднесрочную перспективу( 2007-2009 гг.)"</t>
  </si>
  <si>
    <t>Оздоровление детей</t>
  </si>
  <si>
    <t>Городская целевая    программа "Молодое поколение Долгопрудного   на  2007-2009 годы"</t>
  </si>
  <si>
    <t xml:space="preserve">795 02 00 </t>
  </si>
  <si>
    <t>Здравоохранение , физическая культура и спорт</t>
  </si>
  <si>
    <t>795 06 00</t>
  </si>
  <si>
    <t>Выполнение функций  органами местного самоуправления</t>
  </si>
  <si>
    <t>Социальные ваыплаты</t>
  </si>
  <si>
    <t xml:space="preserve"> и видам расходов  классификации расходов бюджетов </t>
  </si>
  <si>
    <t>795 07 00</t>
  </si>
  <si>
    <t>795 08 00</t>
  </si>
  <si>
    <t>795 09 00</t>
  </si>
  <si>
    <t>(тыс. руб.)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</si>
  <si>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</si>
  <si>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</si>
  <si>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</si>
  <si>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</si>
  <si>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Субсидии некоммерческим организациям</t>
  </si>
  <si>
    <t>019</t>
  </si>
  <si>
    <t>Бюджетные инвестиции в объекты капитального строительства  собственности муниципальных образований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</si>
  <si>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</si>
  <si>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</si>
  <si>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</si>
  <si>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</si>
  <si>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</si>
  <si>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</si>
  <si>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Управление внутренних дел по Мытищинскому  району</t>
  </si>
  <si>
    <t>008</t>
  </si>
  <si>
    <t>0008</t>
  </si>
  <si>
    <t>Муниципальная прогграмма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</si>
  <si>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795 12 00</t>
  </si>
  <si>
    <t>Мероприятия в области коммунального хозяйства</t>
  </si>
  <si>
    <t>351 05 00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</si>
  <si>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</si>
  <si>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</si>
  <si>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600 02 00</t>
  </si>
  <si>
    <t>795 15 00</t>
  </si>
  <si>
    <t>795 16 00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</si>
  <si>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физкультурно-оздоровительного комплекса в составе многофункционального спортивного комплекса, расположенного по адресу : МО , г. Долгопрудный, пересечение ул. Дирижабельная и ул. Летная")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</si>
  <si>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 xml:space="preserve">Строительство </t>
    </r>
    <r>
      <rPr>
        <sz val="10"/>
        <rFont val="Times New Roman Cyr"/>
        <family val="1"/>
      </rPr>
      <t xml:space="preserve"> х</t>
    </r>
    <r>
      <rPr>
        <b/>
        <sz val="10"/>
        <rFont val="Times New Roman Cyr"/>
        <family val="1"/>
      </rPr>
      <t>ирургического корпуса на 210 коек с пищеблоком, ЦСО, клинико-диагностической лабораторией на весь комплекс МУЗ "ДЦГБ" и проектно-изыскательские работы)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</si>
  <si>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хозяйственного корпуса на територии МУЗ " ДЦГБ"и проектно-изыскательские работы</t>
    </r>
    <r>
      <rPr>
        <sz val="10"/>
        <rFont val="Times New Roman Cyr"/>
        <family val="1"/>
      </rPr>
      <t>)</t>
    </r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</si>
  <si>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</si>
  <si>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</si>
  <si>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</si>
  <si>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</si>
  <si>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</si>
  <si>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</si>
  <si>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</si>
  <si>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</si>
  <si>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</si>
  <si>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</si>
  <si>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</si>
  <si>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</si>
  <si>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Проведение выборов главы муниципального образования</t>
  </si>
  <si>
    <t>020 00 03</t>
  </si>
  <si>
    <t>Содержание автомобильных дорог  общего пользования</t>
  </si>
  <si>
    <t>315 02 03</t>
  </si>
  <si>
    <t>Выполнение функций государственными органами</t>
  </si>
  <si>
    <t>315  02 03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</si>
  <si>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</si>
  <si>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</si>
  <si>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</si>
  <si>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</si>
  <si>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</si>
  <si>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</si>
  <si>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</si>
  <si>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</si>
  <si>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</si>
  <si>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</si>
  <si>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</si>
  <si>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</si>
  <si>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</si>
  <si>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</si>
  <si>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</si>
  <si>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</si>
  <si>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</si>
  <si>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</si>
  <si>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</si>
  <si>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</si>
  <si>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Природоохранные мероприятия</t>
  </si>
  <si>
    <t>Мероприятия по землеустройству и землепользованию</t>
  </si>
  <si>
    <t>340 03 00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</si>
  <si>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 ПИР и СМР по реконструкции и расширению муниципального дошкольного образовательного учреждения центра развития ребенка -  детский сад № 4 " Рябинка" г. Долгопрудного</t>
    </r>
    <r>
      <rPr>
        <sz val="10"/>
        <rFont val="Times New Roman Cyr"/>
        <family val="1"/>
      </rPr>
      <t>)</t>
    </r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</si>
  <si>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</si>
  <si>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</si>
  <si>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Муниципальная программа "Развитие и социальная поддержка общественного самоуправления в городе Долгопрудном на 2009 год"</t>
  </si>
  <si>
    <t>795 22 00</t>
  </si>
  <si>
    <t>Муниципальная долгосрочная целевая программа "Предупреждение и борьба с заболеваниями социального характера в городе Долгопрудном на период 2009-2011 годы"</t>
  </si>
  <si>
    <t>795 20 00</t>
  </si>
  <si>
    <t>Муниципальная целевая программа "Обеспечение жильем  молодых семей в г. Долгопрудный на 2007-2008 год"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</si>
  <si>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</si>
  <si>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795 19 00</t>
  </si>
  <si>
    <t>Муниципальная программа "Развитие системы здравоохранения городского округа Долгопрудный на период 2009-2011 годы"</t>
  </si>
  <si>
    <t>795 21 00</t>
  </si>
  <si>
    <t>Прочие мероприятия в области коммунального хозяйства</t>
  </si>
  <si>
    <t>351 05 02</t>
  </si>
  <si>
    <t>Муниципальная   программа "Развитие физической культуры и спорта в г. Долгопрудном   на  2009-2011 годы"</t>
  </si>
  <si>
    <t>Муниципальная   программа "Развитие физической культуры и спорта в г. Долгопрудном на  2009-2011 годы"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</si>
  <si>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</si>
  <si>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</si>
  <si>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</si>
  <si>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Программа  " Модернизация объектов коммунальной инфраструктуры на 2008-2011 годы в городе Долгопрудном"</t>
  </si>
  <si>
    <t>Муниципальная программа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</si>
  <si>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Городская  целевая программа" Развитие и поддержка малого и среднего предпринимательства в городском округе Долгопрудный Московской области на период 2008-2009 годы"</t>
  </si>
  <si>
    <t>Муниципальная целевая программа "Обеспечение жильем  молодых семей в г. Долгопрудный на 2007-2008 годы"</t>
  </si>
  <si>
    <t>Территориальная избирательная комиссия города Долгопрудный</t>
  </si>
  <si>
    <t>009</t>
  </si>
  <si>
    <t>Обеспечение 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</si>
  <si>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</si>
  <si>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</si>
  <si>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</si>
  <si>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 xml:space="preserve">Обеспечение  мероприятий по капитальному ремонту многоквартирных домов </t>
  </si>
  <si>
    <t>098 01 01</t>
  </si>
  <si>
    <t>Фонд софинансирования</t>
  </si>
  <si>
    <t>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</si>
  <si>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</si>
  <si>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</si>
  <si>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</si>
  <si>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</si>
  <si>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>Развитие социальной и инженерной инфраструктуры субъектов  Российской  Федерации и муниципальных образований</t>
  </si>
  <si>
    <t>523 00 00</t>
  </si>
  <si>
    <t xml:space="preserve">Развитие социальной и инженерной инфраструктуры </t>
  </si>
  <si>
    <t>Федеральная целевая программа "Жилище" на 2002-2010 годы</t>
  </si>
  <si>
    <t>104 00 00</t>
  </si>
  <si>
    <t>Подпрограмма  "Обеспечение жильем молодых семей"</t>
  </si>
  <si>
    <t>104 02 00</t>
  </si>
  <si>
    <t>Субсидии на обеспечение жильем</t>
  </si>
  <si>
    <t>501</t>
  </si>
  <si>
    <t>Региональные целевые программы</t>
  </si>
  <si>
    <t>522 00 00</t>
  </si>
  <si>
    <t>Областная целевая программа "Жилище" на 2006-2010 годы</t>
  </si>
  <si>
    <t>522 02 00</t>
  </si>
  <si>
    <t>522 02 04</t>
  </si>
  <si>
    <t>Внедрение современных образовательных технологий</t>
  </si>
  <si>
    <t>436 03 00</t>
  </si>
  <si>
    <t>520 12 00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</si>
  <si>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г. по 3 сентября 1945г</t>
  </si>
  <si>
    <t>505 34 00</t>
  </si>
  <si>
    <t>Судебная система</t>
  </si>
  <si>
    <t>001 00 00</t>
  </si>
  <si>
    <t>Составление(изменение и дополнение) списков  кандидатов в присяжные заседатели федеральных судов общей юрисдикции в РФ</t>
  </si>
  <si>
    <t>001 40 00</t>
  </si>
  <si>
    <t>001 04 00</t>
  </si>
  <si>
    <t>Физкультурно-оздоровительная работа и спортивные мероприятия</t>
  </si>
  <si>
    <t>512 00 00</t>
  </si>
  <si>
    <t>Мероприятия в области спорта и физической культуры</t>
  </si>
  <si>
    <t>512 10 00</t>
  </si>
  <si>
    <t>Мероприятия в области  спорта и физической культуры</t>
  </si>
  <si>
    <t>471 99 04</t>
  </si>
  <si>
    <t>470 99 05</t>
  </si>
  <si>
    <t>Мероприятия в области строительства, архитектуры и градостроительства</t>
  </si>
  <si>
    <t>338 00 00</t>
  </si>
  <si>
    <t xml:space="preserve">Бюджетные инвестиции в объекты капитального строительства собственности муниципальных образований </t>
  </si>
  <si>
    <t>Бюджетные инвестиции(кредиторская задолженность)</t>
  </si>
  <si>
    <t>Бюджетные инвестиции в объекты капитального строительства собственности муниципальных образований (погашение кредиторской задолженности по реконструкции детского сада № 15)</t>
  </si>
  <si>
    <t>Бюджетные инвестиции в объекты капитального строительства собственности муниципальных образований ( кредиторская  задолженность по строительству  школы № 14)</t>
  </si>
  <si>
    <t>Обеспечение деятельности финансовых, налоговых и таможенных органов и органов финансового(финансово-бюджетного) надзора</t>
  </si>
  <si>
    <t>Содержание и управление дорожным хозяйством</t>
  </si>
  <si>
    <t>315 01 00</t>
  </si>
  <si>
    <t>Ремонт и содержание муниципальных автомобильных дорог</t>
  </si>
  <si>
    <t>315 01 06</t>
  </si>
  <si>
    <t>Отдельные мероприятия  в области дорожного хозяйства</t>
  </si>
  <si>
    <t>365</t>
  </si>
  <si>
    <t>Совет депутатов города Долгопрудный</t>
  </si>
  <si>
    <t>Финансовое управление администрации  г. Долгопрудного</t>
  </si>
  <si>
    <t>011</t>
  </si>
  <si>
    <t>520 12 01</t>
  </si>
  <si>
    <t>Государственная поддержка внедрения комплексных мер модернизации образования</t>
  </si>
  <si>
    <t>Государственная поддержка внедрения комплексных мер модернизации образования за счет средств федерального бюджета</t>
  </si>
  <si>
    <t>Государственная поддержка внедрения комплексных мер модернизации образования за счет средств  федерального бюджета</t>
  </si>
  <si>
    <t>Социальные авплаты</t>
  </si>
  <si>
    <t>Расходы на погашение кредиторской задолженности бюджета Московской области  за 2008 год</t>
  </si>
  <si>
    <t>520 12 02</t>
  </si>
  <si>
    <t>Расходы на погашение кредиторской задолженности бюджета Московской области за 2008 год</t>
  </si>
  <si>
    <t>Мероприятия в сфере 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</si>
  <si>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</si>
  <si>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450 06 00</t>
  </si>
  <si>
    <t>Софинансирование  объектов капитального строительства государственной собственности  субъектов РФ ( объектов капитального строительства собственности муниципальных образований)(Реконструкция  котельной в г. Долгопрудный Московской области , ул. Заводская , д. 2  ) ( за счет средств федерального бюджета)</t>
  </si>
  <si>
    <t>020</t>
  </si>
  <si>
    <t>Софинансирование  объектов капитального строительства государственной собственности  субъектов РФ ( объектов капитального строительства собственности муниципальных образований)(Водовод на микрорайон "Хлебниково" в г.  Долгопрудный Московской области  ) ( за счет средств федерального бюджета)</t>
  </si>
  <si>
    <t>523 01 00</t>
  </si>
  <si>
    <t>Обеспечение жильем отдельных категорий граждан,установленных ФЗ от 12.01.95г.№5-ФЗ "Оветеранах" в соответствии с Указом Президента РФ от 07.05.2008г. №714 "Об обеспечении жильем ВОВ 1941-1945 гг"</t>
  </si>
  <si>
    <t>505 34 01</t>
  </si>
  <si>
    <t xml:space="preserve">505 34 01 </t>
  </si>
  <si>
    <t>50534 02</t>
  </si>
  <si>
    <t>Обеспечение жильем отдельных категорий граждан, установленных ФЗ от 12.01.1995№5 ФЗ "О ветеранах" и 24.11.1995 гю №181-ФЗ "О социальной защите инвалидовРФ"</t>
  </si>
  <si>
    <t>505 34 02</t>
  </si>
  <si>
    <t>5230100</t>
  </si>
  <si>
    <t>Бюджетные инвестиции (кредиторская задолженность)</t>
  </si>
  <si>
    <t>Софинансирование объектов капитального строительства государственной собственности субъектов РФ (объектов капитального строительства собственности муниципальных образований)</t>
  </si>
  <si>
    <t>505 86 00</t>
  </si>
  <si>
    <t>431 99 00</t>
  </si>
  <si>
    <t>Областная целевая программа "Жилище" на 2009-2012 годы</t>
  </si>
  <si>
    <t>522 15 04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</si>
  <si>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гг"</t>
  </si>
  <si>
    <t>795 23 00</t>
  </si>
  <si>
    <t>Долгосрочная целевая программа "Обеспечение жильем молодых семей г.Долгопрудного на 2009-2012 годы"</t>
  </si>
  <si>
    <t>Утверждено в бюджете</t>
  </si>
  <si>
    <t>Исполнено за 2009 г.</t>
  </si>
  <si>
    <t>% исполнения</t>
  </si>
  <si>
    <t>410 01 00</t>
  </si>
  <si>
    <t>Охрана объектов растительного и животного мира и среды обитания</t>
  </si>
  <si>
    <t>505 36 01</t>
  </si>
  <si>
    <t>Субвенция на обеспечение жилой площадью детей сирот</t>
  </si>
  <si>
    <t>505 36 00</t>
  </si>
  <si>
    <t>Обеспечение жилыми помещениями детей-сирот,оставшихся без попечения родителей, а также, детей находящихся под опекой</t>
  </si>
  <si>
    <t>Исполнение ведомственной структуры расходов  бюджета городского округа Долгопрудный  за   2009 год</t>
  </si>
  <si>
    <t>к решению Совета лепутатов</t>
  </si>
  <si>
    <t xml:space="preserve">    к решению Совета лепутатов</t>
  </si>
  <si>
    <t xml:space="preserve">                       Приложение №6</t>
  </si>
  <si>
    <t>Приложение №8</t>
  </si>
  <si>
    <t>Исполнение расходов бюджета городского округа за 2009 г. по разделам, подразделам, целевым статьям</t>
  </si>
  <si>
    <t>Администрация города Долгопрудного</t>
  </si>
  <si>
    <t xml:space="preserve">           Управление образования  Администрации г.Долгопрудного</t>
  </si>
  <si>
    <t>Управление культуры администрации г.Долгопрудного</t>
  </si>
  <si>
    <t xml:space="preserve">           от "09" июля 2010г. №41-нр</t>
  </si>
  <si>
    <t>от "09" июля 2010г. №41-нр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</si>
</sst>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9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sz val="9"/>
      <name val="Arial"/>
      <family val="2"/>
    </font>
    <font>
      <sz val="10"/>
      <color indexed="10"/>
      <name val="Times New Roman Cyr"/>
      <family val="1"/>
    </font>
    <font>
      <sz val="10"/>
      <color indexed="8"/>
      <name val="Times New Roman Cyr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0" xfId="0" applyFont="1" applyAlignment="1">
      <alignment/>
    </xf>
    <xf numFmtId="49" fontId="1" fillId="0" borderId="4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7" xfId="0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/>
    </xf>
    <xf numFmtId="49" fontId="1" fillId="0" borderId="7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15" xfId="0" applyFont="1" applyBorder="1" applyAlignment="1">
      <alignment horizontal="left"/>
    </xf>
    <xf numFmtId="164" fontId="2" fillId="0" borderId="9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" fillId="0" borderId="20" xfId="0" applyFont="1" applyBorder="1" applyAlignment="1">
      <alignment/>
    </xf>
    <xf numFmtId="49" fontId="2" fillId="0" borderId="25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19" xfId="0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2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9" xfId="0" applyFont="1" applyBorder="1" applyAlignment="1">
      <alignment wrapText="1"/>
    </xf>
    <xf numFmtId="0" fontId="12" fillId="0" borderId="0" xfId="0" applyFont="1" applyAlignment="1">
      <alignment/>
    </xf>
    <xf numFmtId="49" fontId="2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5" fillId="0" borderId="26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wrapText="1"/>
    </xf>
    <xf numFmtId="49" fontId="2" fillId="0" borderId="7" xfId="0" applyNumberFormat="1" applyFont="1" applyBorder="1" applyAlignment="1">
      <alignment horizontal="left"/>
    </xf>
    <xf numFmtId="0" fontId="2" fillId="0" borderId="14" xfId="0" applyFont="1" applyBorder="1" applyAlignment="1">
      <alignment wrapText="1"/>
    </xf>
    <xf numFmtId="0" fontId="2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9" fontId="3" fillId="0" borderId="9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left"/>
    </xf>
    <xf numFmtId="0" fontId="2" fillId="0" borderId="17" xfId="0" applyFont="1" applyBorder="1" applyAlignment="1">
      <alignment wrapText="1"/>
    </xf>
    <xf numFmtId="164" fontId="13" fillId="0" borderId="11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49" fontId="1" fillId="0" borderId="19" xfId="0" applyNumberFormat="1" applyFont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0" xfId="0" applyFont="1" applyAlignment="1">
      <alignment wrapText="1"/>
    </xf>
    <xf numFmtId="49" fontId="3" fillId="0" borderId="16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49" fontId="2" fillId="0" borderId="24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/>
    </xf>
    <xf numFmtId="49" fontId="1" fillId="0" borderId="31" xfId="0" applyNumberFormat="1" applyFont="1" applyBorder="1" applyAlignment="1">
      <alignment/>
    </xf>
    <xf numFmtId="0" fontId="1" fillId="0" borderId="28" xfId="0" applyFont="1" applyBorder="1" applyAlignment="1">
      <alignment wrapText="1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wrapText="1"/>
    </xf>
    <xf numFmtId="0" fontId="2" fillId="0" borderId="25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2" fillId="0" borderId="32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0" fontId="1" fillId="0" borderId="28" xfId="0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0" fontId="2" fillId="0" borderId="9" xfId="0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2" xfId="0" applyFont="1" applyBorder="1" applyAlignment="1">
      <alignment/>
    </xf>
    <xf numFmtId="0" fontId="14" fillId="0" borderId="0" xfId="0" applyFont="1" applyAlignment="1">
      <alignment/>
    </xf>
    <xf numFmtId="49" fontId="1" fillId="0" borderId="20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left"/>
    </xf>
    <xf numFmtId="0" fontId="1" fillId="0" borderId="21" xfId="0" applyFont="1" applyBorder="1" applyAlignment="1">
      <alignment wrapText="1"/>
    </xf>
    <xf numFmtId="0" fontId="1" fillId="2" borderId="15" xfId="0" applyFont="1" applyFill="1" applyBorder="1" applyAlignment="1">
      <alignment/>
    </xf>
    <xf numFmtId="49" fontId="1" fillId="2" borderId="14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/>
    </xf>
    <xf numFmtId="49" fontId="1" fillId="2" borderId="19" xfId="0" applyNumberFormat="1" applyFont="1" applyFill="1" applyBorder="1" applyAlignment="1">
      <alignment/>
    </xf>
    <xf numFmtId="49" fontId="1" fillId="2" borderId="14" xfId="0" applyNumberFormat="1" applyFont="1" applyFill="1" applyBorder="1" applyAlignment="1">
      <alignment horizontal="left"/>
    </xf>
    <xf numFmtId="164" fontId="1" fillId="2" borderId="10" xfId="0" applyNumberFormat="1" applyFont="1" applyFill="1" applyBorder="1" applyAlignment="1">
      <alignment/>
    </xf>
    <xf numFmtId="164" fontId="1" fillId="0" borderId="9" xfId="0" applyNumberFormat="1" applyFont="1" applyBorder="1" applyAlignment="1">
      <alignment/>
    </xf>
    <xf numFmtId="49" fontId="2" fillId="0" borderId="5" xfId="0" applyNumberFormat="1" applyFont="1" applyFill="1" applyBorder="1" applyAlignment="1">
      <alignment/>
    </xf>
    <xf numFmtId="0" fontId="14" fillId="0" borderId="15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/>
    </xf>
    <xf numFmtId="49" fontId="1" fillId="0" borderId="6" xfId="0" applyNumberFormat="1" applyFont="1" applyBorder="1" applyAlignment="1">
      <alignment horizontal="left"/>
    </xf>
    <xf numFmtId="0" fontId="1" fillId="0" borderId="34" xfId="0" applyFont="1" applyBorder="1" applyAlignment="1">
      <alignment/>
    </xf>
    <xf numFmtId="49" fontId="1" fillId="0" borderId="25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0" fontId="1" fillId="0" borderId="31" xfId="0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3" fillId="0" borderId="35" xfId="0" applyFont="1" applyBorder="1" applyAlignment="1">
      <alignment/>
    </xf>
    <xf numFmtId="49" fontId="3" fillId="0" borderId="22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21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7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1" fillId="0" borderId="36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1" fillId="0" borderId="27" xfId="0" applyFont="1" applyBorder="1" applyAlignment="1">
      <alignment horizontal="center"/>
    </xf>
    <xf numFmtId="49" fontId="1" fillId="0" borderId="2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38" xfId="0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/>
    </xf>
    <xf numFmtId="49" fontId="11" fillId="0" borderId="16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9" xfId="0" applyNumberFormat="1" applyFont="1" applyBorder="1" applyAlignment="1">
      <alignment/>
    </xf>
    <xf numFmtId="0" fontId="0" fillId="0" borderId="29" xfId="0" applyFont="1" applyBorder="1" applyAlignment="1">
      <alignment/>
    </xf>
    <xf numFmtId="49" fontId="2" fillId="0" borderId="39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49" fontId="2" fillId="0" borderId="24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0" fontId="2" fillId="0" borderId="27" xfId="0" applyFont="1" applyBorder="1" applyAlignment="1">
      <alignment wrapText="1"/>
    </xf>
    <xf numFmtId="0" fontId="14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4" xfId="0" applyFont="1" applyBorder="1" applyAlignment="1">
      <alignment/>
    </xf>
    <xf numFmtId="0" fontId="14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0" xfId="0" applyFont="1" applyBorder="1" applyAlignment="1">
      <alignment/>
    </xf>
    <xf numFmtId="0" fontId="4" fillId="0" borderId="7" xfId="0" applyFont="1" applyBorder="1" applyAlignment="1">
      <alignment/>
    </xf>
    <xf numFmtId="164" fontId="17" fillId="0" borderId="12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30" xfId="0" applyFont="1" applyBorder="1" applyAlignment="1">
      <alignment/>
    </xf>
    <xf numFmtId="0" fontId="1" fillId="0" borderId="12" xfId="0" applyFont="1" applyBorder="1" applyAlignment="1">
      <alignment/>
    </xf>
    <xf numFmtId="164" fontId="2" fillId="0" borderId="5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17" fillId="0" borderId="12" xfId="0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4" xfId="0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2" fillId="0" borderId="9" xfId="0" applyNumberFormat="1" applyFont="1" applyBorder="1" applyAlignment="1">
      <alignment horizontal="left"/>
    </xf>
    <xf numFmtId="0" fontId="1" fillId="0" borderId="25" xfId="0" applyFont="1" applyBorder="1" applyAlignment="1">
      <alignment wrapText="1"/>
    </xf>
    <xf numFmtId="49" fontId="1" fillId="0" borderId="42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0" borderId="41" xfId="0" applyNumberFormat="1" applyFont="1" applyBorder="1" applyAlignment="1">
      <alignment/>
    </xf>
    <xf numFmtId="49" fontId="11" fillId="0" borderId="34" xfId="0" applyNumberFormat="1" applyFont="1" applyBorder="1" applyAlignment="1">
      <alignment/>
    </xf>
    <xf numFmtId="49" fontId="2" fillId="0" borderId="41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0" fontId="8" fillId="0" borderId="17" xfId="0" applyFont="1" applyBorder="1" applyAlignment="1">
      <alignment horizontal="center" vertical="justify"/>
    </xf>
    <xf numFmtId="0" fontId="8" fillId="0" borderId="17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6" xfId="0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37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0"/>
  <sheetViews>
    <sheetView workbookViewId="0" topLeftCell="A1">
      <selection activeCell="I4" sqref="I4"/>
    </sheetView>
  </sheetViews>
  <sheetFormatPr defaultColWidth="8.796875" defaultRowHeight="15"/>
  <cols>
    <col min="1" max="1" width="56.69921875" style="0" customWidth="1"/>
    <col min="2" max="2" width="5.3984375" style="266" customWidth="1"/>
    <col min="3" max="3" width="6" style="266" customWidth="1"/>
    <col min="4" max="4" width="10.59765625" style="266" customWidth="1"/>
    <col min="5" max="5" width="6.3984375" style="266" customWidth="1"/>
    <col min="6" max="6" width="0.1015625" style="266" hidden="1" customWidth="1"/>
    <col min="7" max="7" width="9.69921875" style="2" customWidth="1"/>
    <col min="8" max="8" width="11.69921875" style="245" customWidth="1"/>
    <col min="9" max="9" width="8.69921875" style="77" customWidth="1"/>
  </cols>
  <sheetData>
    <row r="1" spans="8:10" ht="15.75">
      <c r="H1" s="267"/>
      <c r="J1" t="s">
        <v>454</v>
      </c>
    </row>
    <row r="2" spans="8:12" ht="15.75">
      <c r="H2" s="267"/>
      <c r="J2" s="49" t="s">
        <v>453</v>
      </c>
      <c r="K2" s="49"/>
      <c r="L2" s="49"/>
    </row>
    <row r="3" spans="8:12" ht="15.75">
      <c r="H3" s="267"/>
      <c r="I3" s="352" t="s">
        <v>460</v>
      </c>
      <c r="J3" s="352"/>
      <c r="K3" s="352"/>
      <c r="L3" s="352"/>
    </row>
    <row r="4" ht="15.75">
      <c r="H4" s="80"/>
    </row>
    <row r="5" ht="15.75">
      <c r="H5" s="80"/>
    </row>
    <row r="6" spans="1:11" ht="15.75">
      <c r="A6" s="353" t="s">
        <v>456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</row>
    <row r="7" spans="1:11" ht="18.75" customHeight="1">
      <c r="A7" s="354" t="s">
        <v>253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</row>
    <row r="8" spans="1:8" ht="18.75" customHeight="1" thickBot="1">
      <c r="A8" s="123"/>
      <c r="B8" s="268"/>
      <c r="C8" s="268"/>
      <c r="D8" s="268"/>
      <c r="E8" s="268"/>
      <c r="F8" s="268"/>
      <c r="G8" s="268"/>
      <c r="H8" s="124" t="s">
        <v>257</v>
      </c>
    </row>
    <row r="9" spans="1:12" s="46" customFormat="1" ht="16.5" thickBot="1">
      <c r="A9" s="203" t="s">
        <v>121</v>
      </c>
      <c r="B9" s="141" t="s">
        <v>178</v>
      </c>
      <c r="C9" s="18" t="s">
        <v>179</v>
      </c>
      <c r="D9" s="143" t="s">
        <v>180</v>
      </c>
      <c r="E9" s="18" t="s">
        <v>181</v>
      </c>
      <c r="F9" s="143"/>
      <c r="G9" s="260"/>
      <c r="H9" s="286" t="s">
        <v>87</v>
      </c>
      <c r="I9" s="355" t="s">
        <v>443</v>
      </c>
      <c r="J9" s="287" t="s">
        <v>87</v>
      </c>
      <c r="K9" s="355" t="s">
        <v>444</v>
      </c>
      <c r="L9" s="284" t="s">
        <v>87</v>
      </c>
    </row>
    <row r="10" spans="1:12" s="46" customFormat="1" ht="65.25" thickBot="1">
      <c r="A10" s="204"/>
      <c r="B10" s="269"/>
      <c r="C10" s="10"/>
      <c r="D10" s="148"/>
      <c r="E10" s="10"/>
      <c r="F10" s="148"/>
      <c r="G10" s="270" t="s">
        <v>59</v>
      </c>
      <c r="H10" s="251" t="s">
        <v>241</v>
      </c>
      <c r="I10" s="356"/>
      <c r="J10" s="288" t="s">
        <v>241</v>
      </c>
      <c r="K10" s="356"/>
      <c r="L10" s="271" t="s">
        <v>241</v>
      </c>
    </row>
    <row r="11" spans="1:12" s="46" customFormat="1" ht="16.5" thickBot="1">
      <c r="A11" s="205" t="s">
        <v>17</v>
      </c>
      <c r="B11" s="141" t="s">
        <v>182</v>
      </c>
      <c r="C11" s="18" t="s">
        <v>123</v>
      </c>
      <c r="D11" s="143"/>
      <c r="E11" s="18"/>
      <c r="F11" s="143"/>
      <c r="G11" s="38">
        <f>G12+G39+G43+G22+G16+G33+G26+G30</f>
        <v>157316.4</v>
      </c>
      <c r="H11" s="244">
        <f>H12+H39+H43+H22+H16+H33+H26+H30</f>
        <v>10165</v>
      </c>
      <c r="I11" s="38">
        <f>I12+I39+I43+I22+I16+I33+I26+I30</f>
        <v>131197</v>
      </c>
      <c r="J11" s="244">
        <f>J12+J39+J43+J22+J16+J33+J26+J30</f>
        <v>9768.3</v>
      </c>
      <c r="K11" s="244">
        <f>I11/G11*100</f>
        <v>83.39689949681025</v>
      </c>
      <c r="L11" s="38">
        <f>J11/H11*100</f>
        <v>96.09739301524839</v>
      </c>
    </row>
    <row r="12" spans="1:12" s="46" customFormat="1" ht="29.25">
      <c r="A12" s="206" t="s">
        <v>100</v>
      </c>
      <c r="B12" s="93" t="s">
        <v>182</v>
      </c>
      <c r="C12" s="16" t="s">
        <v>183</v>
      </c>
      <c r="D12" s="31"/>
      <c r="E12" s="16"/>
      <c r="F12" s="31"/>
      <c r="G12" s="79">
        <f aca="true" t="shared" si="0" ref="G12:J14">G13</f>
        <v>1577.3</v>
      </c>
      <c r="H12" s="79">
        <f t="shared" si="0"/>
        <v>0</v>
      </c>
      <c r="I12" s="79">
        <f t="shared" si="0"/>
        <v>1399.8</v>
      </c>
      <c r="J12" s="79">
        <f t="shared" si="0"/>
        <v>0</v>
      </c>
      <c r="K12" s="296"/>
      <c r="L12" s="291"/>
    </row>
    <row r="13" spans="1:12" s="46" customFormat="1" ht="42.75" customHeight="1">
      <c r="A13" s="45" t="s">
        <v>289</v>
      </c>
      <c r="B13" s="41" t="s">
        <v>182</v>
      </c>
      <c r="C13" s="17" t="s">
        <v>183</v>
      </c>
      <c r="D13" s="29" t="s">
        <v>265</v>
      </c>
      <c r="E13" s="17"/>
      <c r="F13" s="29"/>
      <c r="G13" s="37">
        <f t="shared" si="0"/>
        <v>1577.3</v>
      </c>
      <c r="H13" s="240">
        <f t="shared" si="0"/>
        <v>0</v>
      </c>
      <c r="I13" s="37">
        <f t="shared" si="0"/>
        <v>1399.8</v>
      </c>
      <c r="J13" s="290"/>
      <c r="K13" s="297"/>
      <c r="L13" s="292"/>
    </row>
    <row r="14" spans="1:12" s="46" customFormat="1" ht="15.75">
      <c r="A14" s="34" t="s">
        <v>287</v>
      </c>
      <c r="B14" s="41" t="s">
        <v>182</v>
      </c>
      <c r="C14" s="17" t="s">
        <v>183</v>
      </c>
      <c r="D14" s="29" t="s">
        <v>288</v>
      </c>
      <c r="E14" s="17"/>
      <c r="F14" s="29"/>
      <c r="G14" s="37">
        <f t="shared" si="0"/>
        <v>1577.3</v>
      </c>
      <c r="H14" s="240">
        <f t="shared" si="0"/>
        <v>0</v>
      </c>
      <c r="I14" s="37">
        <f t="shared" si="0"/>
        <v>1399.8</v>
      </c>
      <c r="J14" s="290"/>
      <c r="K14" s="297"/>
      <c r="L14" s="292"/>
    </row>
    <row r="15" spans="1:12" s="46" customFormat="1" ht="15.75">
      <c r="A15" s="26" t="s">
        <v>142</v>
      </c>
      <c r="B15" s="41" t="s">
        <v>182</v>
      </c>
      <c r="C15" s="17" t="s">
        <v>183</v>
      </c>
      <c r="D15" s="29" t="s">
        <v>288</v>
      </c>
      <c r="E15" s="17" t="s">
        <v>266</v>
      </c>
      <c r="F15" s="29"/>
      <c r="G15" s="37">
        <f>'Прилож №5'!H16</f>
        <v>1577.3</v>
      </c>
      <c r="H15" s="37">
        <f>'Прилож №5'!I16</f>
        <v>0</v>
      </c>
      <c r="I15" s="37">
        <f>'Прилож №5'!J16</f>
        <v>1399.8</v>
      </c>
      <c r="J15" s="37">
        <f>'Прилож №5'!K16</f>
        <v>0</v>
      </c>
      <c r="K15" s="37">
        <f>'Прилож №5'!L16</f>
        <v>0</v>
      </c>
      <c r="L15" s="37">
        <f>'Прилож №5'!M16</f>
        <v>0</v>
      </c>
    </row>
    <row r="16" spans="1:12" s="190" customFormat="1" ht="45">
      <c r="A16" s="207" t="s">
        <v>290</v>
      </c>
      <c r="B16" s="41" t="s">
        <v>182</v>
      </c>
      <c r="C16" s="17" t="s">
        <v>187</v>
      </c>
      <c r="D16" s="29"/>
      <c r="E16" s="17"/>
      <c r="F16" s="29"/>
      <c r="G16" s="37">
        <f>G17</f>
        <v>3000</v>
      </c>
      <c r="H16" s="37">
        <f>H17</f>
        <v>0</v>
      </c>
      <c r="I16" s="37">
        <f>I17</f>
        <v>1618.6999999999998</v>
      </c>
      <c r="J16" s="37">
        <f>J17</f>
        <v>0</v>
      </c>
      <c r="K16" s="289"/>
      <c r="L16" s="293"/>
    </row>
    <row r="17" spans="1:12" s="46" customFormat="1" ht="39">
      <c r="A17" s="60" t="s">
        <v>286</v>
      </c>
      <c r="B17" s="64" t="s">
        <v>182</v>
      </c>
      <c r="C17" s="65" t="s">
        <v>187</v>
      </c>
      <c r="D17" s="66" t="s">
        <v>265</v>
      </c>
      <c r="E17" s="17"/>
      <c r="F17" s="29"/>
      <c r="G17" s="37">
        <f>G20+G18</f>
        <v>3000</v>
      </c>
      <c r="H17" s="37">
        <f>H20+H18</f>
        <v>0</v>
      </c>
      <c r="I17" s="37">
        <f>I20+I18</f>
        <v>1618.6999999999998</v>
      </c>
      <c r="J17" s="37">
        <f>J20+J18</f>
        <v>0</v>
      </c>
      <c r="K17" s="297"/>
      <c r="L17" s="292"/>
    </row>
    <row r="18" spans="1:12" s="46" customFormat="1" ht="15.75">
      <c r="A18" s="26" t="s">
        <v>50</v>
      </c>
      <c r="B18" s="64" t="s">
        <v>182</v>
      </c>
      <c r="C18" s="65" t="s">
        <v>187</v>
      </c>
      <c r="D18" s="66" t="s">
        <v>267</v>
      </c>
      <c r="E18" s="17"/>
      <c r="F18" s="29"/>
      <c r="G18" s="37">
        <f>G19</f>
        <v>2144</v>
      </c>
      <c r="H18" s="37">
        <f>H19</f>
        <v>0</v>
      </c>
      <c r="I18" s="37">
        <f>I19</f>
        <v>804.4</v>
      </c>
      <c r="J18" s="37">
        <f>J19</f>
        <v>0</v>
      </c>
      <c r="K18" s="297"/>
      <c r="L18" s="292"/>
    </row>
    <row r="19" spans="1:12" s="46" customFormat="1" ht="15.75">
      <c r="A19" s="26" t="s">
        <v>142</v>
      </c>
      <c r="B19" s="64" t="s">
        <v>182</v>
      </c>
      <c r="C19" s="65" t="s">
        <v>187</v>
      </c>
      <c r="D19" s="66" t="s">
        <v>267</v>
      </c>
      <c r="E19" s="17" t="s">
        <v>266</v>
      </c>
      <c r="F19" s="29"/>
      <c r="G19" s="37">
        <f>'Прилож №5'!H461</f>
        <v>2144</v>
      </c>
      <c r="H19" s="37">
        <f>'Прилож №5'!I461</f>
        <v>0</v>
      </c>
      <c r="I19" s="37">
        <f>'Прилож №5'!J461</f>
        <v>804.4</v>
      </c>
      <c r="J19" s="37">
        <f>'Прилож №5'!K461</f>
        <v>0</v>
      </c>
      <c r="K19" s="297"/>
      <c r="L19" s="292"/>
    </row>
    <row r="20" spans="1:12" s="46" customFormat="1" ht="15.75">
      <c r="A20" s="62" t="s">
        <v>291</v>
      </c>
      <c r="B20" s="64" t="s">
        <v>182</v>
      </c>
      <c r="C20" s="65" t="s">
        <v>187</v>
      </c>
      <c r="D20" s="66" t="s">
        <v>292</v>
      </c>
      <c r="E20" s="17"/>
      <c r="F20" s="29"/>
      <c r="G20" s="37">
        <f>G21</f>
        <v>856</v>
      </c>
      <c r="H20" s="37">
        <f>H21</f>
        <v>0</v>
      </c>
      <c r="I20" s="37">
        <f>I21</f>
        <v>814.3</v>
      </c>
      <c r="J20" s="37">
        <f>J21</f>
        <v>0</v>
      </c>
      <c r="K20" s="297"/>
      <c r="L20" s="292"/>
    </row>
    <row r="21" spans="1:12" s="46" customFormat="1" ht="20.25" customHeight="1">
      <c r="A21" s="62" t="s">
        <v>142</v>
      </c>
      <c r="B21" s="64" t="s">
        <v>182</v>
      </c>
      <c r="C21" s="65" t="s">
        <v>187</v>
      </c>
      <c r="D21" s="66" t="s">
        <v>292</v>
      </c>
      <c r="E21" s="17" t="s">
        <v>266</v>
      </c>
      <c r="F21" s="29"/>
      <c r="G21" s="37">
        <f>'Прилож №5'!H463</f>
        <v>856</v>
      </c>
      <c r="H21" s="37">
        <f>'Прилож №5'!I463</f>
        <v>0</v>
      </c>
      <c r="I21" s="37">
        <f>'Прилож №5'!J463</f>
        <v>814.3</v>
      </c>
      <c r="J21" s="37">
        <f>'Прилож №5'!K463</f>
        <v>0</v>
      </c>
      <c r="K21" s="297"/>
      <c r="L21" s="292"/>
    </row>
    <row r="22" spans="1:12" s="46" customFormat="1" ht="51.75" customHeight="1">
      <c r="A22" s="208" t="s">
        <v>101</v>
      </c>
      <c r="B22" s="94" t="s">
        <v>182</v>
      </c>
      <c r="C22" s="91" t="s">
        <v>184</v>
      </c>
      <c r="D22" s="103"/>
      <c r="E22" s="91"/>
      <c r="F22" s="103"/>
      <c r="G22" s="75">
        <f aca="true" t="shared" si="1" ref="G22:J24">G23</f>
        <v>89917</v>
      </c>
      <c r="H22" s="75">
        <f t="shared" si="1"/>
        <v>5147</v>
      </c>
      <c r="I22" s="75">
        <f t="shared" si="1"/>
        <v>77048.3</v>
      </c>
      <c r="J22" s="75">
        <f t="shared" si="1"/>
        <v>4750.3</v>
      </c>
      <c r="K22" s="297"/>
      <c r="L22" s="292"/>
    </row>
    <row r="23" spans="1:12" s="46" customFormat="1" ht="18.75" customHeight="1">
      <c r="A23" s="45" t="s">
        <v>143</v>
      </c>
      <c r="B23" s="41" t="s">
        <v>182</v>
      </c>
      <c r="C23" s="17" t="s">
        <v>184</v>
      </c>
      <c r="D23" s="29" t="s">
        <v>265</v>
      </c>
      <c r="E23" s="17"/>
      <c r="F23" s="29"/>
      <c r="G23" s="37">
        <f t="shared" si="1"/>
        <v>89917</v>
      </c>
      <c r="H23" s="37">
        <f t="shared" si="1"/>
        <v>5147</v>
      </c>
      <c r="I23" s="37">
        <f t="shared" si="1"/>
        <v>77048.3</v>
      </c>
      <c r="J23" s="37">
        <f t="shared" si="1"/>
        <v>4750.3</v>
      </c>
      <c r="K23" s="297"/>
      <c r="L23" s="292"/>
    </row>
    <row r="24" spans="1:12" s="46" customFormat="1" ht="15.75">
      <c r="A24" s="26" t="s">
        <v>50</v>
      </c>
      <c r="B24" s="41" t="s">
        <v>182</v>
      </c>
      <c r="C24" s="17" t="s">
        <v>184</v>
      </c>
      <c r="D24" s="29" t="s">
        <v>267</v>
      </c>
      <c r="E24" s="17"/>
      <c r="F24" s="29"/>
      <c r="G24" s="37">
        <f t="shared" si="1"/>
        <v>89917</v>
      </c>
      <c r="H24" s="37">
        <f t="shared" si="1"/>
        <v>5147</v>
      </c>
      <c r="I24" s="37">
        <f t="shared" si="1"/>
        <v>77048.3</v>
      </c>
      <c r="J24" s="37">
        <f t="shared" si="1"/>
        <v>4750.3</v>
      </c>
      <c r="K24" s="297"/>
      <c r="L24" s="292"/>
    </row>
    <row r="25" spans="1:12" s="46" customFormat="1" ht="15.75">
      <c r="A25" s="26" t="s">
        <v>142</v>
      </c>
      <c r="B25" s="41" t="s">
        <v>182</v>
      </c>
      <c r="C25" s="17" t="s">
        <v>184</v>
      </c>
      <c r="D25" s="29" t="s">
        <v>267</v>
      </c>
      <c r="E25" s="17" t="s">
        <v>266</v>
      </c>
      <c r="F25" s="29"/>
      <c r="G25" s="37">
        <f>'Прилож №5'!H20</f>
        <v>89917</v>
      </c>
      <c r="H25" s="37">
        <f>'Прилож №5'!I20</f>
        <v>5147</v>
      </c>
      <c r="I25" s="37">
        <f>'Прилож №5'!J20</f>
        <v>77048.3</v>
      </c>
      <c r="J25" s="37">
        <f>'Прилож №5'!K20</f>
        <v>4750.3</v>
      </c>
      <c r="K25" s="297"/>
      <c r="L25" s="292"/>
    </row>
    <row r="26" spans="1:12" s="22" customFormat="1" ht="15.75">
      <c r="A26" s="102" t="s">
        <v>383</v>
      </c>
      <c r="B26" s="94" t="s">
        <v>182</v>
      </c>
      <c r="C26" s="91" t="s">
        <v>196</v>
      </c>
      <c r="D26" s="103"/>
      <c r="E26" s="91"/>
      <c r="F26" s="103"/>
      <c r="G26" s="75">
        <f>G27</f>
        <v>38.1</v>
      </c>
      <c r="H26" s="75">
        <f aca="true" t="shared" si="2" ref="H26:J28">H27</f>
        <v>0</v>
      </c>
      <c r="I26" s="75">
        <f t="shared" si="2"/>
        <v>0</v>
      </c>
      <c r="J26" s="75">
        <f t="shared" si="2"/>
        <v>0</v>
      </c>
      <c r="K26" s="298"/>
      <c r="L26" s="294"/>
    </row>
    <row r="27" spans="1:12" s="46" customFormat="1" ht="15.75">
      <c r="A27" s="26" t="s">
        <v>143</v>
      </c>
      <c r="B27" s="41" t="s">
        <v>182</v>
      </c>
      <c r="C27" s="17" t="s">
        <v>196</v>
      </c>
      <c r="D27" s="29" t="s">
        <v>384</v>
      </c>
      <c r="E27" s="17"/>
      <c r="F27" s="29"/>
      <c r="G27" s="37">
        <f>G28</f>
        <v>38.1</v>
      </c>
      <c r="H27" s="37">
        <f t="shared" si="2"/>
        <v>0</v>
      </c>
      <c r="I27" s="37">
        <f t="shared" si="2"/>
        <v>0</v>
      </c>
      <c r="J27" s="37">
        <f t="shared" si="2"/>
        <v>0</v>
      </c>
      <c r="K27" s="297"/>
      <c r="L27" s="292"/>
    </row>
    <row r="28" spans="1:12" s="46" customFormat="1" ht="26.25">
      <c r="A28" s="34" t="s">
        <v>385</v>
      </c>
      <c r="B28" s="41" t="s">
        <v>182</v>
      </c>
      <c r="C28" s="17" t="s">
        <v>196</v>
      </c>
      <c r="D28" s="29" t="s">
        <v>387</v>
      </c>
      <c r="E28" s="17"/>
      <c r="F28" s="29"/>
      <c r="G28" s="37">
        <f>G29</f>
        <v>38.1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297"/>
      <c r="L28" s="292"/>
    </row>
    <row r="29" spans="1:12" s="46" customFormat="1" ht="15.75">
      <c r="A29" s="26" t="s">
        <v>142</v>
      </c>
      <c r="B29" s="41" t="s">
        <v>182</v>
      </c>
      <c r="C29" s="17" t="s">
        <v>196</v>
      </c>
      <c r="D29" s="29" t="s">
        <v>387</v>
      </c>
      <c r="E29" s="17" t="s">
        <v>266</v>
      </c>
      <c r="F29" s="29"/>
      <c r="G29" s="37">
        <f>'Прилож №5'!H24</f>
        <v>38.1</v>
      </c>
      <c r="H29" s="37">
        <f>'Прилож №5'!I24</f>
        <v>0</v>
      </c>
      <c r="I29" s="37">
        <f>'Прилож №5'!J24</f>
        <v>0</v>
      </c>
      <c r="J29" s="37">
        <f>'Прилож №5'!K24</f>
        <v>0</v>
      </c>
      <c r="K29" s="297"/>
      <c r="L29" s="292"/>
    </row>
    <row r="30" spans="1:12" s="46" customFormat="1" ht="26.25">
      <c r="A30" s="114" t="s">
        <v>401</v>
      </c>
      <c r="B30" s="41" t="s">
        <v>182</v>
      </c>
      <c r="C30" s="17" t="s">
        <v>201</v>
      </c>
      <c r="D30" s="29"/>
      <c r="E30" s="17"/>
      <c r="F30" s="29"/>
      <c r="G30" s="37">
        <f>G31</f>
        <v>5821.6</v>
      </c>
      <c r="H30" s="37">
        <f aca="true" t="shared" si="3" ref="H30:J31">H31</f>
        <v>5018</v>
      </c>
      <c r="I30" s="37">
        <f t="shared" si="3"/>
        <v>5799.3</v>
      </c>
      <c r="J30" s="37">
        <f t="shared" si="3"/>
        <v>5018</v>
      </c>
      <c r="K30" s="297"/>
      <c r="L30" s="292"/>
    </row>
    <row r="31" spans="1:12" s="46" customFormat="1" ht="15.75">
      <c r="A31" s="26" t="s">
        <v>142</v>
      </c>
      <c r="B31" s="41" t="s">
        <v>182</v>
      </c>
      <c r="C31" s="17" t="s">
        <v>201</v>
      </c>
      <c r="D31" s="29" t="s">
        <v>267</v>
      </c>
      <c r="E31" s="17"/>
      <c r="F31" s="29"/>
      <c r="G31" s="37">
        <f>G32</f>
        <v>5821.6</v>
      </c>
      <c r="H31" s="37">
        <f t="shared" si="3"/>
        <v>5018</v>
      </c>
      <c r="I31" s="37">
        <f t="shared" si="3"/>
        <v>5799.3</v>
      </c>
      <c r="J31" s="37">
        <f t="shared" si="3"/>
        <v>5018</v>
      </c>
      <c r="K31" s="297"/>
      <c r="L31" s="292"/>
    </row>
    <row r="32" spans="1:12" s="46" customFormat="1" ht="15.75">
      <c r="A32" s="26" t="s">
        <v>142</v>
      </c>
      <c r="B32" s="41" t="s">
        <v>182</v>
      </c>
      <c r="C32" s="17" t="s">
        <v>201</v>
      </c>
      <c r="D32" s="29" t="s">
        <v>267</v>
      </c>
      <c r="E32" s="17" t="s">
        <v>266</v>
      </c>
      <c r="F32" s="29"/>
      <c r="G32" s="37">
        <f>'Прилож №5'!H468</f>
        <v>5821.6</v>
      </c>
      <c r="H32" s="37">
        <f>'Прилож №5'!I468</f>
        <v>5018</v>
      </c>
      <c r="I32" s="37">
        <f>'Прилож №5'!J468</f>
        <v>5799.3</v>
      </c>
      <c r="J32" s="37">
        <f>'Прилож №5'!K468</f>
        <v>5018</v>
      </c>
      <c r="K32" s="297"/>
      <c r="L32" s="292"/>
    </row>
    <row r="33" spans="1:12" s="22" customFormat="1" ht="15.75">
      <c r="A33" s="102" t="s">
        <v>293</v>
      </c>
      <c r="B33" s="94" t="s">
        <v>182</v>
      </c>
      <c r="C33" s="91" t="s">
        <v>190</v>
      </c>
      <c r="D33" s="103"/>
      <c r="E33" s="91"/>
      <c r="F33" s="103"/>
      <c r="G33" s="75">
        <f>G34</f>
        <v>1103.4</v>
      </c>
      <c r="H33" s="75">
        <f>H34</f>
        <v>0</v>
      </c>
      <c r="I33" s="75">
        <f>I34</f>
        <v>1073.9</v>
      </c>
      <c r="J33" s="75">
        <f>J34</f>
        <v>0</v>
      </c>
      <c r="K33" s="298"/>
      <c r="L33" s="294"/>
    </row>
    <row r="34" spans="1:12" s="46" customFormat="1" ht="15.75">
      <c r="A34" s="26" t="s">
        <v>294</v>
      </c>
      <c r="B34" s="41" t="s">
        <v>182</v>
      </c>
      <c r="C34" s="17" t="s">
        <v>190</v>
      </c>
      <c r="D34" s="29" t="s">
        <v>295</v>
      </c>
      <c r="E34" s="17"/>
      <c r="F34" s="101"/>
      <c r="G34" s="37">
        <f>G35+G37</f>
        <v>1103.4</v>
      </c>
      <c r="H34" s="37">
        <f>H35+H37</f>
        <v>0</v>
      </c>
      <c r="I34" s="37">
        <f>I35+I37</f>
        <v>1073.9</v>
      </c>
      <c r="J34" s="37">
        <f>J35+J37</f>
        <v>0</v>
      </c>
      <c r="K34" s="297"/>
      <c r="L34" s="292"/>
    </row>
    <row r="35" spans="1:12" s="46" customFormat="1" ht="19.5" customHeight="1">
      <c r="A35" s="34" t="s">
        <v>296</v>
      </c>
      <c r="B35" s="41" t="s">
        <v>182</v>
      </c>
      <c r="C35" s="17" t="s">
        <v>190</v>
      </c>
      <c r="D35" s="29" t="s">
        <v>297</v>
      </c>
      <c r="E35" s="17"/>
      <c r="F35" s="101"/>
      <c r="G35" s="37">
        <f>G36</f>
        <v>346.5</v>
      </c>
      <c r="H35" s="37">
        <f>H36</f>
        <v>0</v>
      </c>
      <c r="I35" s="37">
        <f>I36</f>
        <v>317.7</v>
      </c>
      <c r="J35" s="37">
        <f>J36</f>
        <v>0</v>
      </c>
      <c r="K35" s="297"/>
      <c r="L35" s="292"/>
    </row>
    <row r="36" spans="1:12" s="46" customFormat="1" ht="15.75">
      <c r="A36" s="26" t="s">
        <v>142</v>
      </c>
      <c r="B36" s="41" t="s">
        <v>182</v>
      </c>
      <c r="C36" s="17" t="s">
        <v>190</v>
      </c>
      <c r="D36" s="29" t="s">
        <v>297</v>
      </c>
      <c r="E36" s="17" t="s">
        <v>266</v>
      </c>
      <c r="F36" s="101" t="s">
        <v>266</v>
      </c>
      <c r="G36" s="37">
        <f>'Прилож №5'!H453</f>
        <v>346.5</v>
      </c>
      <c r="H36" s="37">
        <f>'Прилож №5'!I453</f>
        <v>0</v>
      </c>
      <c r="I36" s="37">
        <f>'Прилож №5'!J453</f>
        <v>317.7</v>
      </c>
      <c r="J36" s="37">
        <f>'Прилож №5'!K453</f>
        <v>0</v>
      </c>
      <c r="K36" s="297"/>
      <c r="L36" s="292"/>
    </row>
    <row r="37" spans="1:12" s="46" customFormat="1" ht="15.75">
      <c r="A37" s="34" t="s">
        <v>298</v>
      </c>
      <c r="B37" s="41" t="s">
        <v>182</v>
      </c>
      <c r="C37" s="17" t="s">
        <v>190</v>
      </c>
      <c r="D37" s="29" t="s">
        <v>299</v>
      </c>
      <c r="E37" s="17"/>
      <c r="F37" s="101"/>
      <c r="G37" s="37">
        <f>G38</f>
        <v>756.9</v>
      </c>
      <c r="H37" s="37">
        <f>H38</f>
        <v>0</v>
      </c>
      <c r="I37" s="37">
        <f>I38</f>
        <v>756.2</v>
      </c>
      <c r="J37" s="37">
        <f>J38</f>
        <v>0</v>
      </c>
      <c r="K37" s="297"/>
      <c r="L37" s="292"/>
    </row>
    <row r="38" spans="1:12" s="46" customFormat="1" ht="16.5" customHeight="1">
      <c r="A38" s="32" t="s">
        <v>142</v>
      </c>
      <c r="B38" s="41" t="s">
        <v>182</v>
      </c>
      <c r="C38" s="17" t="s">
        <v>190</v>
      </c>
      <c r="D38" s="17" t="s">
        <v>299</v>
      </c>
      <c r="E38" s="19" t="s">
        <v>266</v>
      </c>
      <c r="F38" s="191" t="s">
        <v>266</v>
      </c>
      <c r="G38" s="37">
        <f>'Прилож №5'!H455</f>
        <v>756.9</v>
      </c>
      <c r="H38" s="37">
        <f>'Прилож №5'!I455</f>
        <v>0</v>
      </c>
      <c r="I38" s="37">
        <f>'Прилож №5'!J455</f>
        <v>756.2</v>
      </c>
      <c r="J38" s="37">
        <f>'Прилож №5'!K455</f>
        <v>0</v>
      </c>
      <c r="K38" s="297"/>
      <c r="L38" s="292"/>
    </row>
    <row r="39" spans="1:12" s="46" customFormat="1" ht="15.75">
      <c r="A39" s="209" t="s">
        <v>16</v>
      </c>
      <c r="B39" s="94" t="s">
        <v>182</v>
      </c>
      <c r="C39" s="91" t="s">
        <v>185</v>
      </c>
      <c r="D39" s="31"/>
      <c r="E39" s="91"/>
      <c r="F39" s="103" t="s">
        <v>1</v>
      </c>
      <c r="G39" s="75">
        <f aca="true" t="shared" si="4" ref="G39:J41">G40</f>
        <v>1576.7</v>
      </c>
      <c r="H39" s="75">
        <f t="shared" si="4"/>
        <v>0</v>
      </c>
      <c r="I39" s="75">
        <f t="shared" si="4"/>
        <v>0</v>
      </c>
      <c r="J39" s="75">
        <f t="shared" si="4"/>
        <v>0</v>
      </c>
      <c r="K39" s="297"/>
      <c r="L39" s="292"/>
    </row>
    <row r="40" spans="1:12" s="46" customFormat="1" ht="15.75">
      <c r="A40" s="25" t="s">
        <v>16</v>
      </c>
      <c r="B40" s="42" t="s">
        <v>182</v>
      </c>
      <c r="C40" s="19" t="s">
        <v>185</v>
      </c>
      <c r="D40" s="30" t="s">
        <v>19</v>
      </c>
      <c r="E40" s="17"/>
      <c r="F40" s="30"/>
      <c r="G40" s="35">
        <f t="shared" si="4"/>
        <v>1576.7</v>
      </c>
      <c r="H40" s="35">
        <f t="shared" si="4"/>
        <v>0</v>
      </c>
      <c r="I40" s="35">
        <f t="shared" si="4"/>
        <v>0</v>
      </c>
      <c r="J40" s="35">
        <f t="shared" si="4"/>
        <v>0</v>
      </c>
      <c r="K40" s="297"/>
      <c r="L40" s="292"/>
    </row>
    <row r="41" spans="1:12" s="46" customFormat="1" ht="15.75">
      <c r="A41" s="45" t="s">
        <v>145</v>
      </c>
      <c r="B41" s="42" t="s">
        <v>182</v>
      </c>
      <c r="C41" s="19" t="s">
        <v>185</v>
      </c>
      <c r="D41" s="30" t="s">
        <v>146</v>
      </c>
      <c r="E41" s="17"/>
      <c r="F41" s="30"/>
      <c r="G41" s="35">
        <f t="shared" si="4"/>
        <v>1576.7</v>
      </c>
      <c r="H41" s="35">
        <f t="shared" si="4"/>
        <v>0</v>
      </c>
      <c r="I41" s="35">
        <f t="shared" si="4"/>
        <v>0</v>
      </c>
      <c r="J41" s="35">
        <f t="shared" si="4"/>
        <v>0</v>
      </c>
      <c r="K41" s="297"/>
      <c r="L41" s="292"/>
    </row>
    <row r="42" spans="1:12" s="46" customFormat="1" ht="15.75">
      <c r="A42" s="26" t="s">
        <v>144</v>
      </c>
      <c r="B42" s="41" t="s">
        <v>182</v>
      </c>
      <c r="C42" s="17" t="s">
        <v>185</v>
      </c>
      <c r="D42" s="29" t="s">
        <v>146</v>
      </c>
      <c r="E42" s="17" t="s">
        <v>124</v>
      </c>
      <c r="F42" s="29"/>
      <c r="G42" s="37">
        <f>'Прилож №5'!H28</f>
        <v>1576.7</v>
      </c>
      <c r="H42" s="37">
        <f>'Прилож №5'!I28</f>
        <v>0</v>
      </c>
      <c r="I42" s="37">
        <f>'Прилож №5'!J28</f>
        <v>0</v>
      </c>
      <c r="J42" s="37">
        <f>'Прилож №5'!K28</f>
        <v>0</v>
      </c>
      <c r="K42" s="297"/>
      <c r="L42" s="292"/>
    </row>
    <row r="43" spans="1:12" s="46" customFormat="1" ht="15.75">
      <c r="A43" s="209" t="s">
        <v>78</v>
      </c>
      <c r="B43" s="94" t="s">
        <v>182</v>
      </c>
      <c r="C43" s="91" t="s">
        <v>186</v>
      </c>
      <c r="D43" s="103"/>
      <c r="E43" s="91"/>
      <c r="F43" s="103"/>
      <c r="G43" s="75">
        <f>G44+G47+G50</f>
        <v>54282.3</v>
      </c>
      <c r="H43" s="75">
        <f>H44+H47+H50</f>
        <v>0</v>
      </c>
      <c r="I43" s="75">
        <f>I44+I47+I50</f>
        <v>44257</v>
      </c>
      <c r="J43" s="75">
        <f>J44+J47+J50</f>
        <v>0</v>
      </c>
      <c r="K43" s="297"/>
      <c r="L43" s="292"/>
    </row>
    <row r="44" spans="1:12" s="46" customFormat="1" ht="39">
      <c r="A44" s="45" t="s">
        <v>286</v>
      </c>
      <c r="B44" s="41" t="s">
        <v>182</v>
      </c>
      <c r="C44" s="17" t="s">
        <v>186</v>
      </c>
      <c r="D44" s="29" t="s">
        <v>265</v>
      </c>
      <c r="E44" s="17"/>
      <c r="F44" s="29"/>
      <c r="G44" s="37">
        <f>G45</f>
        <v>20970.4</v>
      </c>
      <c r="H44" s="37">
        <f aca="true" t="shared" si="5" ref="H44:J45">H45</f>
        <v>0</v>
      </c>
      <c r="I44" s="37">
        <f t="shared" si="5"/>
        <v>19954.1</v>
      </c>
      <c r="J44" s="37">
        <f t="shared" si="5"/>
        <v>0</v>
      </c>
      <c r="K44" s="297"/>
      <c r="L44" s="292"/>
    </row>
    <row r="45" spans="1:12" s="46" customFormat="1" ht="15.75">
      <c r="A45" s="24" t="s">
        <v>50</v>
      </c>
      <c r="B45" s="41" t="s">
        <v>182</v>
      </c>
      <c r="C45" s="17" t="s">
        <v>186</v>
      </c>
      <c r="D45" s="29" t="s">
        <v>267</v>
      </c>
      <c r="E45" s="17"/>
      <c r="F45" s="29"/>
      <c r="G45" s="37">
        <f>G46</f>
        <v>20970.4</v>
      </c>
      <c r="H45" s="37">
        <f t="shared" si="5"/>
        <v>0</v>
      </c>
      <c r="I45" s="37">
        <f t="shared" si="5"/>
        <v>19954.1</v>
      </c>
      <c r="J45" s="37">
        <f t="shared" si="5"/>
        <v>0</v>
      </c>
      <c r="K45" s="297"/>
      <c r="L45" s="292"/>
    </row>
    <row r="46" spans="1:12" s="46" customFormat="1" ht="15.75">
      <c r="A46" s="26" t="s">
        <v>142</v>
      </c>
      <c r="B46" s="41" t="s">
        <v>182</v>
      </c>
      <c r="C46" s="17" t="s">
        <v>186</v>
      </c>
      <c r="D46" s="29" t="s">
        <v>267</v>
      </c>
      <c r="E46" s="17" t="s">
        <v>266</v>
      </c>
      <c r="F46" s="29"/>
      <c r="G46" s="37">
        <f>'Прилож №5'!H353+'Прилож №5'!H406</f>
        <v>20970.4</v>
      </c>
      <c r="H46" s="37">
        <f>'Прилож №5'!I353+'Прилож №5'!I406</f>
        <v>0</v>
      </c>
      <c r="I46" s="37">
        <f>'Прилож №5'!J353+'Прилож №5'!J406</f>
        <v>19954.1</v>
      </c>
      <c r="J46" s="37">
        <f>'Прилож №5'!K353+'Прилож №5'!K406</f>
        <v>0</v>
      </c>
      <c r="K46" s="297"/>
      <c r="L46" s="292"/>
    </row>
    <row r="47" spans="1:12" s="46" customFormat="1" ht="26.25">
      <c r="A47" s="45" t="s">
        <v>200</v>
      </c>
      <c r="B47" s="41" t="s">
        <v>182</v>
      </c>
      <c r="C47" s="17" t="s">
        <v>186</v>
      </c>
      <c r="D47" s="29" t="s">
        <v>134</v>
      </c>
      <c r="E47" s="17"/>
      <c r="F47" s="29"/>
      <c r="G47" s="37">
        <f>G48</f>
        <v>32811.9</v>
      </c>
      <c r="H47" s="37">
        <f aca="true" t="shared" si="6" ref="H47:J48">H48</f>
        <v>0</v>
      </c>
      <c r="I47" s="37">
        <f t="shared" si="6"/>
        <v>23804.4</v>
      </c>
      <c r="J47" s="37">
        <f t="shared" si="6"/>
        <v>0</v>
      </c>
      <c r="K47" s="297"/>
      <c r="L47" s="292"/>
    </row>
    <row r="48" spans="1:12" s="46" customFormat="1" ht="15.75">
      <c r="A48" s="45" t="s">
        <v>75</v>
      </c>
      <c r="B48" s="41" t="s">
        <v>182</v>
      </c>
      <c r="C48" s="17" t="s">
        <v>186</v>
      </c>
      <c r="D48" s="29" t="s">
        <v>199</v>
      </c>
      <c r="E48" s="17"/>
      <c r="F48" s="29"/>
      <c r="G48" s="37">
        <f>G49</f>
        <v>32811.9</v>
      </c>
      <c r="H48" s="37">
        <f t="shared" si="6"/>
        <v>0</v>
      </c>
      <c r="I48" s="37">
        <f t="shared" si="6"/>
        <v>23804.4</v>
      </c>
      <c r="J48" s="37">
        <f t="shared" si="6"/>
        <v>0</v>
      </c>
      <c r="K48" s="297"/>
      <c r="L48" s="292"/>
    </row>
    <row r="49" spans="1:12" s="46" customFormat="1" ht="15.75">
      <c r="A49" s="32" t="s">
        <v>142</v>
      </c>
      <c r="B49" s="42" t="s">
        <v>182</v>
      </c>
      <c r="C49" s="19" t="s">
        <v>186</v>
      </c>
      <c r="D49" s="30" t="s">
        <v>199</v>
      </c>
      <c r="E49" s="19" t="s">
        <v>266</v>
      </c>
      <c r="F49" s="30"/>
      <c r="G49" s="35">
        <f>'Прилож №5'!H409+'Прилож №5'!H30</f>
        <v>32811.9</v>
      </c>
      <c r="H49" s="35">
        <f>'Прилож №5'!I409+'Прилож №5'!I30</f>
        <v>0</v>
      </c>
      <c r="I49" s="35">
        <f>'Прилож №5'!J409+'Прилож №5'!J30</f>
        <v>23804.4</v>
      </c>
      <c r="J49" s="35">
        <f>'Прилож №5'!K409+'Прилож №5'!K30</f>
        <v>0</v>
      </c>
      <c r="K49" s="297"/>
      <c r="L49" s="292"/>
    </row>
    <row r="50" spans="1:12" s="46" customFormat="1" ht="15.75">
      <c r="A50" s="24" t="s">
        <v>127</v>
      </c>
      <c r="B50" s="42" t="s">
        <v>182</v>
      </c>
      <c r="C50" s="19" t="s">
        <v>186</v>
      </c>
      <c r="D50" s="29" t="s">
        <v>128</v>
      </c>
      <c r="E50" s="17"/>
      <c r="F50" s="29"/>
      <c r="G50" s="37">
        <f>G51</f>
        <v>500</v>
      </c>
      <c r="H50" s="37">
        <f aca="true" t="shared" si="7" ref="H50:J51">H51</f>
        <v>0</v>
      </c>
      <c r="I50" s="37">
        <f t="shared" si="7"/>
        <v>498.5</v>
      </c>
      <c r="J50" s="37">
        <f t="shared" si="7"/>
        <v>0</v>
      </c>
      <c r="K50" s="297"/>
      <c r="L50" s="292"/>
    </row>
    <row r="51" spans="1:12" s="46" customFormat="1" ht="26.25">
      <c r="A51" s="45" t="s">
        <v>330</v>
      </c>
      <c r="B51" s="42" t="s">
        <v>182</v>
      </c>
      <c r="C51" s="19" t="s">
        <v>186</v>
      </c>
      <c r="D51" s="29" t="s">
        <v>331</v>
      </c>
      <c r="E51" s="17"/>
      <c r="F51" s="29"/>
      <c r="G51" s="37">
        <f>G52</f>
        <v>500</v>
      </c>
      <c r="H51" s="37">
        <f t="shared" si="7"/>
        <v>0</v>
      </c>
      <c r="I51" s="37">
        <f t="shared" si="7"/>
        <v>498.5</v>
      </c>
      <c r="J51" s="37">
        <f t="shared" si="7"/>
        <v>0</v>
      </c>
      <c r="K51" s="297"/>
      <c r="L51" s="292"/>
    </row>
    <row r="52" spans="1:12" s="46" customFormat="1" ht="16.5" thickBot="1">
      <c r="A52" s="32" t="s">
        <v>142</v>
      </c>
      <c r="B52" s="42" t="s">
        <v>182</v>
      </c>
      <c r="C52" s="19" t="s">
        <v>186</v>
      </c>
      <c r="D52" s="30" t="s">
        <v>331</v>
      </c>
      <c r="E52" s="19" t="s">
        <v>266</v>
      </c>
      <c r="F52" s="30"/>
      <c r="G52" s="35">
        <f>'Прилож №5'!H35</f>
        <v>500</v>
      </c>
      <c r="H52" s="35">
        <f>'Прилож №5'!I35</f>
        <v>0</v>
      </c>
      <c r="I52" s="35">
        <f>'Прилож №5'!J35</f>
        <v>498.5</v>
      </c>
      <c r="J52" s="35">
        <f>'Прилож №5'!K35</f>
        <v>0</v>
      </c>
      <c r="K52" s="299"/>
      <c r="L52" s="300"/>
    </row>
    <row r="53" spans="1:12" s="46" customFormat="1" ht="16.5" thickBot="1">
      <c r="A53" s="210" t="s">
        <v>79</v>
      </c>
      <c r="B53" s="141" t="s">
        <v>183</v>
      </c>
      <c r="C53" s="18" t="s">
        <v>123</v>
      </c>
      <c r="D53" s="143"/>
      <c r="E53" s="18"/>
      <c r="F53" s="143"/>
      <c r="G53" s="38">
        <f aca="true" t="shared" si="8" ref="G53:J56">G54</f>
        <v>179.29999999999995</v>
      </c>
      <c r="H53" s="38">
        <f t="shared" si="8"/>
        <v>0</v>
      </c>
      <c r="I53" s="38">
        <f t="shared" si="8"/>
        <v>178.9</v>
      </c>
      <c r="J53" s="38">
        <f t="shared" si="8"/>
        <v>0</v>
      </c>
      <c r="K53" s="38">
        <f>I53/G53*100</f>
        <v>99.77691020635808</v>
      </c>
      <c r="L53" s="38"/>
    </row>
    <row r="54" spans="1:12" s="46" customFormat="1" ht="15.75">
      <c r="A54" s="133" t="s">
        <v>80</v>
      </c>
      <c r="B54" s="93" t="s">
        <v>183</v>
      </c>
      <c r="C54" s="16" t="s">
        <v>184</v>
      </c>
      <c r="D54" s="31"/>
      <c r="E54" s="16"/>
      <c r="F54" s="31"/>
      <c r="G54" s="79">
        <f t="shared" si="8"/>
        <v>179.29999999999995</v>
      </c>
      <c r="H54" s="79">
        <f t="shared" si="8"/>
        <v>0</v>
      </c>
      <c r="I54" s="79">
        <f t="shared" si="8"/>
        <v>178.9</v>
      </c>
      <c r="J54" s="79">
        <f t="shared" si="8"/>
        <v>0</v>
      </c>
      <c r="K54" s="296"/>
      <c r="L54" s="291"/>
    </row>
    <row r="55" spans="1:12" s="46" customFormat="1" ht="26.25">
      <c r="A55" s="45" t="s">
        <v>102</v>
      </c>
      <c r="B55" s="41" t="s">
        <v>183</v>
      </c>
      <c r="C55" s="17" t="s">
        <v>184</v>
      </c>
      <c r="D55" s="29" t="s">
        <v>81</v>
      </c>
      <c r="E55" s="17"/>
      <c r="F55" s="29"/>
      <c r="G55" s="37">
        <f t="shared" si="8"/>
        <v>179.29999999999995</v>
      </c>
      <c r="H55" s="37">
        <f t="shared" si="8"/>
        <v>0</v>
      </c>
      <c r="I55" s="37">
        <f t="shared" si="8"/>
        <v>178.9</v>
      </c>
      <c r="J55" s="37">
        <f t="shared" si="8"/>
        <v>0</v>
      </c>
      <c r="K55" s="297"/>
      <c r="L55" s="292"/>
    </row>
    <row r="56" spans="1:12" s="46" customFormat="1" ht="17.25" customHeight="1">
      <c r="A56" s="45" t="s">
        <v>103</v>
      </c>
      <c r="B56" s="41" t="s">
        <v>183</v>
      </c>
      <c r="C56" s="17" t="s">
        <v>184</v>
      </c>
      <c r="D56" s="29" t="s">
        <v>147</v>
      </c>
      <c r="E56" s="17"/>
      <c r="F56" s="9"/>
      <c r="G56" s="35">
        <f t="shared" si="8"/>
        <v>179.29999999999995</v>
      </c>
      <c r="H56" s="35">
        <f t="shared" si="8"/>
        <v>0</v>
      </c>
      <c r="I56" s="35">
        <f t="shared" si="8"/>
        <v>178.9</v>
      </c>
      <c r="J56" s="35">
        <f t="shared" si="8"/>
        <v>0</v>
      </c>
      <c r="K56" s="297"/>
      <c r="L56" s="292"/>
    </row>
    <row r="57" spans="1:12" s="46" customFormat="1" ht="15" customHeight="1" thickBot="1">
      <c r="A57" s="32" t="s">
        <v>142</v>
      </c>
      <c r="B57" s="42" t="s">
        <v>183</v>
      </c>
      <c r="C57" s="19" t="s">
        <v>184</v>
      </c>
      <c r="D57" s="30" t="s">
        <v>147</v>
      </c>
      <c r="E57" s="19" t="s">
        <v>266</v>
      </c>
      <c r="F57" s="9"/>
      <c r="G57" s="35">
        <f>'Прилож №5'!H40</f>
        <v>179.29999999999995</v>
      </c>
      <c r="H57" s="35">
        <f>'Прилож №5'!I40</f>
        <v>0</v>
      </c>
      <c r="I57" s="35">
        <f>'Прилож №5'!J40</f>
        <v>178.9</v>
      </c>
      <c r="J57" s="35">
        <f>'Прилож №5'!K40</f>
        <v>0</v>
      </c>
      <c r="K57" s="299"/>
      <c r="L57" s="300"/>
    </row>
    <row r="58" spans="1:12" s="134" customFormat="1" ht="32.25" customHeight="1" thickBot="1">
      <c r="A58" s="211" t="s">
        <v>113</v>
      </c>
      <c r="B58" s="272" t="s">
        <v>187</v>
      </c>
      <c r="C58" s="273" t="s">
        <v>123</v>
      </c>
      <c r="D58" s="274"/>
      <c r="E58" s="273"/>
      <c r="F58" s="275" t="s">
        <v>2</v>
      </c>
      <c r="G58" s="276">
        <f>G59+G75+G82</f>
        <v>27217.300000000003</v>
      </c>
      <c r="H58" s="276">
        <f>H59+H75+H82</f>
        <v>2419</v>
      </c>
      <c r="I58" s="276">
        <f>I59+I75+I82</f>
        <v>19999.600000000002</v>
      </c>
      <c r="J58" s="276">
        <f>J59+J75+J82</f>
        <v>1536.1</v>
      </c>
      <c r="K58" s="38">
        <f>I58/G58*100</f>
        <v>73.48120496889847</v>
      </c>
      <c r="L58" s="38">
        <f>J58/H58*100</f>
        <v>63.50144687887557</v>
      </c>
    </row>
    <row r="59" spans="1:12" s="22" customFormat="1" ht="15.75">
      <c r="A59" s="133" t="s">
        <v>20</v>
      </c>
      <c r="B59" s="93" t="s">
        <v>187</v>
      </c>
      <c r="C59" s="16" t="s">
        <v>183</v>
      </c>
      <c r="D59" s="31"/>
      <c r="E59" s="16"/>
      <c r="F59" s="31"/>
      <c r="G59" s="79">
        <f>G60</f>
        <v>19724.4</v>
      </c>
      <c r="H59" s="79">
        <f>H60</f>
        <v>2355</v>
      </c>
      <c r="I59" s="79">
        <f>I60</f>
        <v>16176.6</v>
      </c>
      <c r="J59" s="79">
        <f>J60</f>
        <v>1472.1</v>
      </c>
      <c r="K59" s="301"/>
      <c r="L59" s="302"/>
    </row>
    <row r="60" spans="1:12" s="46" customFormat="1" ht="15.75">
      <c r="A60" s="212" t="s">
        <v>83</v>
      </c>
      <c r="B60" s="41" t="s">
        <v>187</v>
      </c>
      <c r="C60" s="17" t="s">
        <v>183</v>
      </c>
      <c r="D60" s="29" t="s">
        <v>52</v>
      </c>
      <c r="E60" s="17"/>
      <c r="F60" s="29"/>
      <c r="G60" s="37">
        <f>G61+G63+G65+G70+G73</f>
        <v>19724.4</v>
      </c>
      <c r="H60" s="37">
        <f>H61+H63+H65+H70+H73</f>
        <v>2355</v>
      </c>
      <c r="I60" s="37">
        <f>I61+I63+I65+I70+I73</f>
        <v>16176.6</v>
      </c>
      <c r="J60" s="37">
        <f>J61+J63+J65+J70+J73</f>
        <v>1472.1</v>
      </c>
      <c r="K60" s="297"/>
      <c r="L60" s="292"/>
    </row>
    <row r="61" spans="1:12" s="46" customFormat="1" ht="60">
      <c r="A61" s="213" t="s">
        <v>149</v>
      </c>
      <c r="B61" s="41" t="s">
        <v>187</v>
      </c>
      <c r="C61" s="17" t="s">
        <v>183</v>
      </c>
      <c r="D61" s="29" t="s">
        <v>148</v>
      </c>
      <c r="E61" s="17"/>
      <c r="F61" s="29"/>
      <c r="G61" s="37">
        <f>G62</f>
        <v>2776.4</v>
      </c>
      <c r="H61" s="37">
        <f>H62</f>
        <v>2355</v>
      </c>
      <c r="I61" s="37">
        <f>I62</f>
        <v>1893.5</v>
      </c>
      <c r="J61" s="37">
        <f>J62</f>
        <v>1472.1</v>
      </c>
      <c r="K61" s="297"/>
      <c r="L61" s="292"/>
    </row>
    <row r="62" spans="1:12" s="46" customFormat="1" ht="30" customHeight="1">
      <c r="A62" s="213" t="s">
        <v>150</v>
      </c>
      <c r="B62" s="41" t="s">
        <v>187</v>
      </c>
      <c r="C62" s="17" t="s">
        <v>183</v>
      </c>
      <c r="D62" s="29" t="s">
        <v>148</v>
      </c>
      <c r="E62" s="17" t="s">
        <v>125</v>
      </c>
      <c r="F62" s="29"/>
      <c r="G62" s="37">
        <f>'Прилож №5'!H435</f>
        <v>2776.4</v>
      </c>
      <c r="H62" s="37">
        <f>'Прилож №5'!I435</f>
        <v>2355</v>
      </c>
      <c r="I62" s="37">
        <f>'Прилож №5'!J435</f>
        <v>1893.5</v>
      </c>
      <c r="J62" s="37">
        <f>'Прилож №5'!K435</f>
        <v>1472.1</v>
      </c>
      <c r="K62" s="297"/>
      <c r="L62" s="292"/>
    </row>
    <row r="63" spans="1:12" s="46" customFormat="1" ht="15.75">
      <c r="A63" s="212" t="s">
        <v>151</v>
      </c>
      <c r="B63" s="41" t="s">
        <v>187</v>
      </c>
      <c r="C63" s="17" t="s">
        <v>183</v>
      </c>
      <c r="D63" s="29" t="s">
        <v>152</v>
      </c>
      <c r="E63" s="17"/>
      <c r="F63" s="29"/>
      <c r="G63" s="37">
        <f>G64</f>
        <v>11317.6</v>
      </c>
      <c r="H63" s="37">
        <f>H64</f>
        <v>0</v>
      </c>
      <c r="I63" s="37">
        <f>I64</f>
        <v>10184.9</v>
      </c>
      <c r="J63" s="37">
        <f>J64</f>
        <v>0</v>
      </c>
      <c r="K63" s="297"/>
      <c r="L63" s="292"/>
    </row>
    <row r="64" spans="1:12" s="46" customFormat="1" ht="30" customHeight="1">
      <c r="A64" s="213" t="s">
        <v>150</v>
      </c>
      <c r="B64" s="41" t="s">
        <v>187</v>
      </c>
      <c r="C64" s="17" t="s">
        <v>183</v>
      </c>
      <c r="D64" s="29" t="s">
        <v>153</v>
      </c>
      <c r="E64" s="17" t="s">
        <v>125</v>
      </c>
      <c r="F64" s="29"/>
      <c r="G64" s="37">
        <f>'Прилож №5'!H437</f>
        <v>11317.6</v>
      </c>
      <c r="H64" s="37">
        <f>'Прилож №5'!I437</f>
        <v>0</v>
      </c>
      <c r="I64" s="37">
        <f>'Прилож №5'!J437</f>
        <v>10184.9</v>
      </c>
      <c r="J64" s="37">
        <f>'Прилож №5'!K437</f>
        <v>0</v>
      </c>
      <c r="K64" s="297"/>
      <c r="L64" s="292"/>
    </row>
    <row r="65" spans="1:12" s="46" customFormat="1" ht="30">
      <c r="A65" s="213" t="s">
        <v>154</v>
      </c>
      <c r="B65" s="41" t="s">
        <v>187</v>
      </c>
      <c r="C65" s="17" t="s">
        <v>183</v>
      </c>
      <c r="D65" s="29" t="s">
        <v>155</v>
      </c>
      <c r="E65" s="17"/>
      <c r="F65" s="29"/>
      <c r="G65" s="37">
        <f>G66+G68</f>
        <v>4728.9</v>
      </c>
      <c r="H65" s="37">
        <f>H66+H68</f>
        <v>0</v>
      </c>
      <c r="I65" s="37">
        <f>I66+I68</f>
        <v>3237.3</v>
      </c>
      <c r="J65" s="37">
        <f>J66+J68</f>
        <v>0</v>
      </c>
      <c r="K65" s="297"/>
      <c r="L65" s="292"/>
    </row>
    <row r="66" spans="1:12" s="46" customFormat="1" ht="15.75">
      <c r="A66" s="212" t="s">
        <v>156</v>
      </c>
      <c r="B66" s="41" t="s">
        <v>187</v>
      </c>
      <c r="C66" s="17" t="s">
        <v>183</v>
      </c>
      <c r="D66" s="29" t="s">
        <v>157</v>
      </c>
      <c r="E66" s="17"/>
      <c r="F66" s="29"/>
      <c r="G66" s="37">
        <f>G67</f>
        <v>1090.5</v>
      </c>
      <c r="H66" s="37">
        <f>H67</f>
        <v>0</v>
      </c>
      <c r="I66" s="37">
        <f>I67</f>
        <v>704</v>
      </c>
      <c r="J66" s="37">
        <f>J67</f>
        <v>0</v>
      </c>
      <c r="K66" s="297"/>
      <c r="L66" s="292"/>
    </row>
    <row r="67" spans="1:12" s="46" customFormat="1" ht="32.25" customHeight="1">
      <c r="A67" s="213" t="s">
        <v>150</v>
      </c>
      <c r="B67" s="41" t="s">
        <v>187</v>
      </c>
      <c r="C67" s="17" t="s">
        <v>183</v>
      </c>
      <c r="D67" s="29" t="s">
        <v>157</v>
      </c>
      <c r="E67" s="17" t="s">
        <v>125</v>
      </c>
      <c r="F67" s="29"/>
      <c r="G67" s="37">
        <f>'Прилож №5'!H440</f>
        <v>1090.5</v>
      </c>
      <c r="H67" s="37">
        <f>'Прилож №5'!I440</f>
        <v>0</v>
      </c>
      <c r="I67" s="37">
        <f>'Прилож №5'!J440</f>
        <v>704</v>
      </c>
      <c r="J67" s="37">
        <f>'Прилож №5'!K440</f>
        <v>0</v>
      </c>
      <c r="K67" s="297"/>
      <c r="L67" s="292"/>
    </row>
    <row r="68" spans="1:12" s="46" customFormat="1" ht="30">
      <c r="A68" s="213" t="s">
        <v>159</v>
      </c>
      <c r="B68" s="41" t="s">
        <v>187</v>
      </c>
      <c r="C68" s="17" t="s">
        <v>183</v>
      </c>
      <c r="D68" s="29" t="s">
        <v>158</v>
      </c>
      <c r="E68" s="17"/>
      <c r="F68" s="29"/>
      <c r="G68" s="37">
        <f>G69</f>
        <v>3638.3999999999996</v>
      </c>
      <c r="H68" s="37">
        <f>H69</f>
        <v>0</v>
      </c>
      <c r="I68" s="37">
        <f>I69</f>
        <v>2533.3</v>
      </c>
      <c r="J68" s="37">
        <f>J69</f>
        <v>0</v>
      </c>
      <c r="K68" s="297"/>
      <c r="L68" s="292"/>
    </row>
    <row r="69" spans="1:12" s="46" customFormat="1" ht="31.5" customHeight="1">
      <c r="A69" s="213" t="s">
        <v>150</v>
      </c>
      <c r="B69" s="41" t="s">
        <v>187</v>
      </c>
      <c r="C69" s="17" t="s">
        <v>183</v>
      </c>
      <c r="D69" s="29" t="s">
        <v>158</v>
      </c>
      <c r="E69" s="17" t="s">
        <v>125</v>
      </c>
      <c r="F69" s="29"/>
      <c r="G69" s="37">
        <f>'Прилож №5'!H442</f>
        <v>3638.3999999999996</v>
      </c>
      <c r="H69" s="37">
        <f>'Прилож №5'!I442</f>
        <v>0</v>
      </c>
      <c r="I69" s="37">
        <f>'Прилож №5'!J442</f>
        <v>2533.3</v>
      </c>
      <c r="J69" s="37">
        <f>'Прилож №5'!K442</f>
        <v>0</v>
      </c>
      <c r="K69" s="297"/>
      <c r="L69" s="292"/>
    </row>
    <row r="70" spans="1:12" s="46" customFormat="1" ht="15.75">
      <c r="A70" s="212" t="s">
        <v>53</v>
      </c>
      <c r="B70" s="41" t="s">
        <v>187</v>
      </c>
      <c r="C70" s="17" t="s">
        <v>183</v>
      </c>
      <c r="D70" s="29" t="s">
        <v>160</v>
      </c>
      <c r="E70" s="17"/>
      <c r="F70" s="29"/>
      <c r="G70" s="37">
        <f>G71</f>
        <v>196.5</v>
      </c>
      <c r="H70" s="37">
        <f aca="true" t="shared" si="9" ref="H70:J71">H71</f>
        <v>0</v>
      </c>
      <c r="I70" s="37">
        <f t="shared" si="9"/>
        <v>196.4</v>
      </c>
      <c r="J70" s="37">
        <f t="shared" si="9"/>
        <v>0</v>
      </c>
      <c r="K70" s="297"/>
      <c r="L70" s="292"/>
    </row>
    <row r="71" spans="1:12" s="46" customFormat="1" ht="15.75">
      <c r="A71" s="212" t="s">
        <v>161</v>
      </c>
      <c r="B71" s="41" t="s">
        <v>187</v>
      </c>
      <c r="C71" s="17" t="s">
        <v>183</v>
      </c>
      <c r="D71" s="29" t="s">
        <v>162</v>
      </c>
      <c r="E71" s="17"/>
      <c r="F71" s="29"/>
      <c r="G71" s="37">
        <f>G72</f>
        <v>196.5</v>
      </c>
      <c r="H71" s="37">
        <f t="shared" si="9"/>
        <v>0</v>
      </c>
      <c r="I71" s="37">
        <f t="shared" si="9"/>
        <v>196.4</v>
      </c>
      <c r="J71" s="37">
        <f t="shared" si="9"/>
        <v>0</v>
      </c>
      <c r="K71" s="37"/>
      <c r="L71" s="292"/>
    </row>
    <row r="72" spans="1:12" s="46" customFormat="1" ht="31.5" customHeight="1">
      <c r="A72" s="213" t="s">
        <v>150</v>
      </c>
      <c r="B72" s="41" t="s">
        <v>187</v>
      </c>
      <c r="C72" s="17" t="s">
        <v>183</v>
      </c>
      <c r="D72" s="29" t="s">
        <v>162</v>
      </c>
      <c r="E72" s="17" t="s">
        <v>125</v>
      </c>
      <c r="F72" s="29"/>
      <c r="G72" s="37">
        <f>'Прилож №5'!H445</f>
        <v>196.5</v>
      </c>
      <c r="H72" s="37">
        <f>'Прилож №5'!I445</f>
        <v>0</v>
      </c>
      <c r="I72" s="37">
        <f>'Прилож №5'!J445</f>
        <v>196.4</v>
      </c>
      <c r="J72" s="37">
        <f>'Прилож №5'!K445</f>
        <v>0</v>
      </c>
      <c r="K72" s="297"/>
      <c r="L72" s="292"/>
    </row>
    <row r="73" spans="1:12" s="46" customFormat="1" ht="30">
      <c r="A73" s="213" t="s">
        <v>104</v>
      </c>
      <c r="B73" s="41" t="s">
        <v>187</v>
      </c>
      <c r="C73" s="17" t="s">
        <v>183</v>
      </c>
      <c r="D73" s="29" t="s">
        <v>163</v>
      </c>
      <c r="E73" s="17"/>
      <c r="F73" s="29"/>
      <c r="G73" s="37">
        <f>G74</f>
        <v>705</v>
      </c>
      <c r="H73" s="37">
        <f>H74</f>
        <v>0</v>
      </c>
      <c r="I73" s="37">
        <f>I74</f>
        <v>664.5</v>
      </c>
      <c r="J73" s="37">
        <f>J74</f>
        <v>0</v>
      </c>
      <c r="K73" s="297"/>
      <c r="L73" s="292"/>
    </row>
    <row r="74" spans="1:12" s="46" customFormat="1" ht="15.75">
      <c r="A74" s="214" t="s">
        <v>164</v>
      </c>
      <c r="B74" s="42" t="s">
        <v>187</v>
      </c>
      <c r="C74" s="19" t="s">
        <v>183</v>
      </c>
      <c r="D74" s="30" t="s">
        <v>163</v>
      </c>
      <c r="E74" s="19" t="s">
        <v>51</v>
      </c>
      <c r="F74" s="30"/>
      <c r="G74" s="35">
        <f>'Прилож №5'!H447</f>
        <v>705</v>
      </c>
      <c r="H74" s="35">
        <f>'Прилож №5'!I447</f>
        <v>0</v>
      </c>
      <c r="I74" s="35">
        <f>'Прилож №5'!J447</f>
        <v>664.5</v>
      </c>
      <c r="J74" s="35">
        <f>'Прилож №5'!K447</f>
        <v>0</v>
      </c>
      <c r="K74" s="297"/>
      <c r="L74" s="292"/>
    </row>
    <row r="75" spans="1:12" s="46" customFormat="1" ht="31.5" customHeight="1">
      <c r="A75" s="208" t="s">
        <v>165</v>
      </c>
      <c r="B75" s="94" t="s">
        <v>187</v>
      </c>
      <c r="C75" s="91" t="s">
        <v>188</v>
      </c>
      <c r="D75" s="103"/>
      <c r="E75" s="91"/>
      <c r="F75" s="103"/>
      <c r="G75" s="75">
        <f>G79+G76</f>
        <v>3799.9</v>
      </c>
      <c r="H75" s="75">
        <f>H79+H76</f>
        <v>0</v>
      </c>
      <c r="I75" s="75">
        <f>I79+I76</f>
        <v>912.8</v>
      </c>
      <c r="J75" s="75">
        <f>J79+J76</f>
        <v>0</v>
      </c>
      <c r="K75" s="297"/>
      <c r="L75" s="292"/>
    </row>
    <row r="76" spans="1:12" s="46" customFormat="1" ht="27" customHeight="1">
      <c r="A76" s="207" t="s">
        <v>135</v>
      </c>
      <c r="B76" s="40" t="s">
        <v>187</v>
      </c>
      <c r="C76" s="21" t="s">
        <v>188</v>
      </c>
      <c r="D76" s="28" t="s">
        <v>136</v>
      </c>
      <c r="E76" s="21"/>
      <c r="F76" s="28"/>
      <c r="G76" s="36">
        <f>G77</f>
        <v>2391.9</v>
      </c>
      <c r="H76" s="36">
        <f aca="true" t="shared" si="10" ref="H76:J77">H77</f>
        <v>0</v>
      </c>
      <c r="I76" s="36">
        <f t="shared" si="10"/>
        <v>870.9</v>
      </c>
      <c r="J76" s="36">
        <f t="shared" si="10"/>
        <v>0</v>
      </c>
      <c r="K76" s="297"/>
      <c r="L76" s="292"/>
    </row>
    <row r="77" spans="1:12" s="46" customFormat="1" ht="27" customHeight="1">
      <c r="A77" s="207" t="s">
        <v>137</v>
      </c>
      <c r="B77" s="40" t="s">
        <v>187</v>
      </c>
      <c r="C77" s="21" t="s">
        <v>188</v>
      </c>
      <c r="D77" s="28" t="s">
        <v>166</v>
      </c>
      <c r="E77" s="21"/>
      <c r="F77" s="28"/>
      <c r="G77" s="36">
        <f>G78</f>
        <v>2391.9</v>
      </c>
      <c r="H77" s="36">
        <f t="shared" si="10"/>
        <v>0</v>
      </c>
      <c r="I77" s="36">
        <f t="shared" si="10"/>
        <v>870.9</v>
      </c>
      <c r="J77" s="36">
        <f t="shared" si="10"/>
        <v>0</v>
      </c>
      <c r="K77" s="297"/>
      <c r="L77" s="292"/>
    </row>
    <row r="78" spans="1:12" s="46" customFormat="1" ht="18" customHeight="1">
      <c r="A78" s="207" t="s">
        <v>144</v>
      </c>
      <c r="B78" s="41" t="s">
        <v>187</v>
      </c>
      <c r="C78" s="17" t="s">
        <v>188</v>
      </c>
      <c r="D78" s="29" t="s">
        <v>166</v>
      </c>
      <c r="E78" s="17" t="s">
        <v>124</v>
      </c>
      <c r="F78" s="29"/>
      <c r="G78" s="37">
        <f>'Прилож №5'!H45</f>
        <v>2391.9</v>
      </c>
      <c r="H78" s="37">
        <f>'Прилож №5'!I45</f>
        <v>0</v>
      </c>
      <c r="I78" s="37">
        <f>'Прилож №5'!J45</f>
        <v>870.9</v>
      </c>
      <c r="J78" s="37">
        <f>'Прилож №5'!K45</f>
        <v>0</v>
      </c>
      <c r="K78" s="297"/>
      <c r="L78" s="292"/>
    </row>
    <row r="79" spans="1:12" s="46" customFormat="1" ht="15.75">
      <c r="A79" s="212" t="s">
        <v>21</v>
      </c>
      <c r="B79" s="41" t="s">
        <v>187</v>
      </c>
      <c r="C79" s="17" t="s">
        <v>188</v>
      </c>
      <c r="D79" s="29" t="s">
        <v>22</v>
      </c>
      <c r="E79" s="17"/>
      <c r="F79" s="29"/>
      <c r="G79" s="37">
        <f>G80</f>
        <v>1408</v>
      </c>
      <c r="H79" s="37">
        <f aca="true" t="shared" si="11" ref="H79:J80">H80</f>
        <v>0</v>
      </c>
      <c r="I79" s="37">
        <f t="shared" si="11"/>
        <v>41.9</v>
      </c>
      <c r="J79" s="37">
        <f t="shared" si="11"/>
        <v>0</v>
      </c>
      <c r="K79" s="297"/>
      <c r="L79" s="292"/>
    </row>
    <row r="80" spans="1:12" s="46" customFormat="1" ht="30">
      <c r="A80" s="213" t="s">
        <v>116</v>
      </c>
      <c r="B80" s="42" t="s">
        <v>187</v>
      </c>
      <c r="C80" s="17" t="s">
        <v>188</v>
      </c>
      <c r="D80" s="29" t="s">
        <v>167</v>
      </c>
      <c r="E80" s="17"/>
      <c r="F80" s="29" t="s">
        <v>4</v>
      </c>
      <c r="G80" s="37">
        <f>G81</f>
        <v>1408</v>
      </c>
      <c r="H80" s="37">
        <f t="shared" si="11"/>
        <v>0</v>
      </c>
      <c r="I80" s="37">
        <f t="shared" si="11"/>
        <v>41.9</v>
      </c>
      <c r="J80" s="37">
        <f t="shared" si="11"/>
        <v>0</v>
      </c>
      <c r="K80" s="297"/>
      <c r="L80" s="292"/>
    </row>
    <row r="81" spans="1:12" s="46" customFormat="1" ht="15.75">
      <c r="A81" s="213" t="s">
        <v>168</v>
      </c>
      <c r="B81" s="42" t="s">
        <v>187</v>
      </c>
      <c r="C81" s="17" t="s">
        <v>188</v>
      </c>
      <c r="D81" s="29" t="s">
        <v>167</v>
      </c>
      <c r="E81" s="17" t="s">
        <v>84</v>
      </c>
      <c r="F81" s="29"/>
      <c r="G81" s="37">
        <f>'Прилож №5'!H48</f>
        <v>1408</v>
      </c>
      <c r="H81" s="37">
        <f>'Прилож №5'!I48</f>
        <v>0</v>
      </c>
      <c r="I81" s="37">
        <f>'Прилож №5'!J48</f>
        <v>41.9</v>
      </c>
      <c r="J81" s="37">
        <f>'Прилож №5'!K48</f>
        <v>0</v>
      </c>
      <c r="K81" s="297"/>
      <c r="L81" s="292"/>
    </row>
    <row r="82" spans="1:12" s="46" customFormat="1" ht="29.25">
      <c r="A82" s="208" t="s">
        <v>105</v>
      </c>
      <c r="B82" s="94" t="s">
        <v>187</v>
      </c>
      <c r="C82" s="91" t="s">
        <v>186</v>
      </c>
      <c r="D82" s="103"/>
      <c r="E82" s="91"/>
      <c r="F82" s="103"/>
      <c r="G82" s="37">
        <f>G83+G87</f>
        <v>3693</v>
      </c>
      <c r="H82" s="37">
        <f>H83+H87</f>
        <v>64</v>
      </c>
      <c r="I82" s="37">
        <f>I83+I87</f>
        <v>2910.2</v>
      </c>
      <c r="J82" s="37">
        <f>J83+J87</f>
        <v>64</v>
      </c>
      <c r="K82" s="297"/>
      <c r="L82" s="292"/>
    </row>
    <row r="83" spans="1:12" s="46" customFormat="1" ht="43.5" customHeight="1">
      <c r="A83" s="202" t="s">
        <v>169</v>
      </c>
      <c r="B83" s="42" t="s">
        <v>187</v>
      </c>
      <c r="C83" s="17" t="s">
        <v>186</v>
      </c>
      <c r="D83" s="29" t="s">
        <v>82</v>
      </c>
      <c r="E83" s="17"/>
      <c r="F83" s="29"/>
      <c r="G83" s="37">
        <f>G84</f>
        <v>253</v>
      </c>
      <c r="H83" s="37">
        <f>H84</f>
        <v>64</v>
      </c>
      <c r="I83" s="37">
        <f>I84</f>
        <v>64</v>
      </c>
      <c r="J83" s="37">
        <f>J84</f>
        <v>64</v>
      </c>
      <c r="K83" s="297"/>
      <c r="L83" s="292"/>
    </row>
    <row r="84" spans="1:12" s="46" customFormat="1" ht="14.25" customHeight="1">
      <c r="A84" s="214" t="s">
        <v>27</v>
      </c>
      <c r="B84" s="42" t="s">
        <v>187</v>
      </c>
      <c r="C84" s="19" t="s">
        <v>186</v>
      </c>
      <c r="D84" s="30" t="s">
        <v>170</v>
      </c>
      <c r="E84" s="19"/>
      <c r="F84" s="30"/>
      <c r="G84" s="35">
        <f>G85+G86</f>
        <v>253</v>
      </c>
      <c r="H84" s="35">
        <f>H85+H86</f>
        <v>64</v>
      </c>
      <c r="I84" s="35">
        <f>I85+I86</f>
        <v>64</v>
      </c>
      <c r="J84" s="35">
        <f>J85+J86</f>
        <v>64</v>
      </c>
      <c r="K84" s="297"/>
      <c r="L84" s="292"/>
    </row>
    <row r="85" spans="1:12" s="46" customFormat="1" ht="19.5" customHeight="1">
      <c r="A85" s="212" t="s">
        <v>142</v>
      </c>
      <c r="B85" s="42" t="s">
        <v>187</v>
      </c>
      <c r="C85" s="19" t="s">
        <v>186</v>
      </c>
      <c r="D85" s="30" t="s">
        <v>170</v>
      </c>
      <c r="E85" s="19" t="s">
        <v>266</v>
      </c>
      <c r="F85" s="30"/>
      <c r="G85" s="35">
        <f>'Прилож №5'!H52</f>
        <v>189</v>
      </c>
      <c r="H85" s="35">
        <f>'Прилож №5'!I52</f>
        <v>0</v>
      </c>
      <c r="I85" s="35">
        <f>'Прилож №5'!J52</f>
        <v>0</v>
      </c>
      <c r="J85" s="35">
        <f>'Прилож №5'!K52</f>
        <v>0</v>
      </c>
      <c r="K85" s="297"/>
      <c r="L85" s="292"/>
    </row>
    <row r="86" spans="1:12" s="46" customFormat="1" ht="14.25" customHeight="1">
      <c r="A86" s="213" t="s">
        <v>168</v>
      </c>
      <c r="B86" s="42" t="s">
        <v>187</v>
      </c>
      <c r="C86" s="19" t="s">
        <v>186</v>
      </c>
      <c r="D86" s="30" t="s">
        <v>170</v>
      </c>
      <c r="E86" s="19" t="s">
        <v>84</v>
      </c>
      <c r="F86" s="30"/>
      <c r="G86" s="35">
        <f>'Прилож №5'!H220</f>
        <v>64</v>
      </c>
      <c r="H86" s="35">
        <f>'Прилож №5'!I220</f>
        <v>64</v>
      </c>
      <c r="I86" s="35">
        <f>'Прилож №5'!J220</f>
        <v>64</v>
      </c>
      <c r="J86" s="35">
        <f>'Прилож №5'!K220</f>
        <v>64</v>
      </c>
      <c r="K86" s="297"/>
      <c r="L86" s="292"/>
    </row>
    <row r="87" spans="1:12" s="46" customFormat="1" ht="13.5" customHeight="1">
      <c r="A87" s="212" t="s">
        <v>127</v>
      </c>
      <c r="B87" s="41" t="s">
        <v>187</v>
      </c>
      <c r="C87" s="17" t="s">
        <v>186</v>
      </c>
      <c r="D87" s="29" t="s">
        <v>128</v>
      </c>
      <c r="E87" s="17"/>
      <c r="F87" s="29"/>
      <c r="G87" s="37">
        <f>G88</f>
        <v>3440</v>
      </c>
      <c r="H87" s="37">
        <f aca="true" t="shared" si="12" ref="H87:J88">H88</f>
        <v>0</v>
      </c>
      <c r="I87" s="37">
        <f t="shared" si="12"/>
        <v>2846.2</v>
      </c>
      <c r="J87" s="37">
        <f t="shared" si="12"/>
        <v>0</v>
      </c>
      <c r="K87" s="297"/>
      <c r="L87" s="292"/>
    </row>
    <row r="88" spans="1:12" s="46" customFormat="1" ht="42" customHeight="1">
      <c r="A88" s="45" t="s">
        <v>345</v>
      </c>
      <c r="B88" s="41" t="s">
        <v>187</v>
      </c>
      <c r="C88" s="17" t="s">
        <v>186</v>
      </c>
      <c r="D88" s="29" t="s">
        <v>255</v>
      </c>
      <c r="E88" s="17"/>
      <c r="F88" s="29"/>
      <c r="G88" s="37">
        <f>G89</f>
        <v>3440</v>
      </c>
      <c r="H88" s="37">
        <f t="shared" si="12"/>
        <v>0</v>
      </c>
      <c r="I88" s="37">
        <f t="shared" si="12"/>
        <v>2846.2</v>
      </c>
      <c r="J88" s="37">
        <f t="shared" si="12"/>
        <v>0</v>
      </c>
      <c r="K88" s="297"/>
      <c r="L88" s="292"/>
    </row>
    <row r="89" spans="1:12" s="46" customFormat="1" ht="15" customHeight="1" thickBot="1">
      <c r="A89" s="214" t="s">
        <v>142</v>
      </c>
      <c r="B89" s="42" t="s">
        <v>187</v>
      </c>
      <c r="C89" s="19" t="s">
        <v>186</v>
      </c>
      <c r="D89" s="30" t="s">
        <v>255</v>
      </c>
      <c r="E89" s="19" t="s">
        <v>266</v>
      </c>
      <c r="F89" s="30"/>
      <c r="G89" s="35">
        <f>'Прилож №5'!H55</f>
        <v>3440</v>
      </c>
      <c r="H89" s="35">
        <f>'Прилож №5'!I55</f>
        <v>0</v>
      </c>
      <c r="I89" s="35">
        <f>'Прилож №5'!J55</f>
        <v>2846.2</v>
      </c>
      <c r="J89" s="35">
        <f>'Прилож №5'!K55</f>
        <v>0</v>
      </c>
      <c r="K89" s="299"/>
      <c r="L89" s="300"/>
    </row>
    <row r="90" spans="1:12" s="46" customFormat="1" ht="16.5" thickBot="1">
      <c r="A90" s="210" t="s">
        <v>64</v>
      </c>
      <c r="B90" s="141" t="s">
        <v>184</v>
      </c>
      <c r="C90" s="18" t="s">
        <v>123</v>
      </c>
      <c r="D90" s="143"/>
      <c r="E90" s="18"/>
      <c r="F90" s="187"/>
      <c r="G90" s="38">
        <f>G91+G96+G104</f>
        <v>29189.300000000003</v>
      </c>
      <c r="H90" s="38">
        <f>H91+H96+H104</f>
        <v>2564</v>
      </c>
      <c r="I90" s="38">
        <f>I91+I96+I104</f>
        <v>23586.2</v>
      </c>
      <c r="J90" s="38">
        <f>J91+J96+J104</f>
        <v>982</v>
      </c>
      <c r="K90" s="38">
        <f>I90/G90*100</f>
        <v>80.80426731713332</v>
      </c>
      <c r="L90" s="38">
        <f>J90/H90*100</f>
        <v>38.29953198127925</v>
      </c>
    </row>
    <row r="91" spans="1:12" s="3" customFormat="1" ht="15.75" customHeight="1">
      <c r="A91" s="133" t="s">
        <v>96</v>
      </c>
      <c r="B91" s="93" t="s">
        <v>184</v>
      </c>
      <c r="C91" s="16" t="s">
        <v>191</v>
      </c>
      <c r="D91" s="31"/>
      <c r="E91" s="16"/>
      <c r="F91" s="31"/>
      <c r="G91" s="79">
        <f>G92</f>
        <v>19496</v>
      </c>
      <c r="H91" s="79">
        <f>H92</f>
        <v>0</v>
      </c>
      <c r="I91" s="79">
        <f>I92</f>
        <v>16181.7</v>
      </c>
      <c r="J91" s="79">
        <f>J92</f>
        <v>0</v>
      </c>
      <c r="K91" s="178"/>
      <c r="L91" s="303"/>
    </row>
    <row r="92" spans="1:12" s="2" customFormat="1" ht="15.75" customHeight="1">
      <c r="A92" s="212" t="s">
        <v>171</v>
      </c>
      <c r="B92" s="41" t="s">
        <v>184</v>
      </c>
      <c r="C92" s="17" t="s">
        <v>191</v>
      </c>
      <c r="D92" s="29" t="s">
        <v>172</v>
      </c>
      <c r="E92" s="17"/>
      <c r="F92" s="29"/>
      <c r="G92" s="37">
        <f aca="true" t="shared" si="13" ref="G92:J94">G93</f>
        <v>19496</v>
      </c>
      <c r="H92" s="37">
        <f t="shared" si="13"/>
        <v>0</v>
      </c>
      <c r="I92" s="37">
        <f t="shared" si="13"/>
        <v>16181.7</v>
      </c>
      <c r="J92" s="37">
        <f t="shared" si="13"/>
        <v>0</v>
      </c>
      <c r="K92" s="157"/>
      <c r="L92" s="221"/>
    </row>
    <row r="93" spans="1:12" s="2" customFormat="1" ht="15.75" customHeight="1">
      <c r="A93" s="212" t="s">
        <v>173</v>
      </c>
      <c r="B93" s="41" t="s">
        <v>184</v>
      </c>
      <c r="C93" s="17" t="s">
        <v>191</v>
      </c>
      <c r="D93" s="29" t="s">
        <v>174</v>
      </c>
      <c r="E93" s="17"/>
      <c r="F93" s="29"/>
      <c r="G93" s="37">
        <f t="shared" si="13"/>
        <v>19496</v>
      </c>
      <c r="H93" s="37">
        <f t="shared" si="13"/>
        <v>0</v>
      </c>
      <c r="I93" s="37">
        <f t="shared" si="13"/>
        <v>16181.7</v>
      </c>
      <c r="J93" s="37">
        <f t="shared" si="13"/>
        <v>0</v>
      </c>
      <c r="K93" s="157"/>
      <c r="L93" s="221"/>
    </row>
    <row r="94" spans="1:12" s="2" customFormat="1" ht="40.5" customHeight="1">
      <c r="A94" s="213" t="s">
        <v>175</v>
      </c>
      <c r="B94" s="41" t="s">
        <v>184</v>
      </c>
      <c r="C94" s="17" t="s">
        <v>191</v>
      </c>
      <c r="D94" s="29" t="s">
        <v>176</v>
      </c>
      <c r="E94" s="17"/>
      <c r="F94" s="29"/>
      <c r="G94" s="37">
        <f t="shared" si="13"/>
        <v>19496</v>
      </c>
      <c r="H94" s="37">
        <f t="shared" si="13"/>
        <v>0</v>
      </c>
      <c r="I94" s="37">
        <f t="shared" si="13"/>
        <v>16181.7</v>
      </c>
      <c r="J94" s="37">
        <f t="shared" si="13"/>
        <v>0</v>
      </c>
      <c r="K94" s="157"/>
      <c r="L94" s="221"/>
    </row>
    <row r="95" spans="1:12" s="2" customFormat="1" ht="15.75" customHeight="1">
      <c r="A95" s="215" t="s">
        <v>177</v>
      </c>
      <c r="B95" s="41" t="s">
        <v>184</v>
      </c>
      <c r="C95" s="17" t="s">
        <v>191</v>
      </c>
      <c r="D95" s="29" t="s">
        <v>176</v>
      </c>
      <c r="E95" s="17" t="s">
        <v>85</v>
      </c>
      <c r="F95" s="29"/>
      <c r="G95" s="37">
        <f>'Прилож №5'!H61</f>
        <v>19496</v>
      </c>
      <c r="H95" s="37">
        <f>'Прилож №5'!I61</f>
        <v>0</v>
      </c>
      <c r="I95" s="37">
        <f>'Прилож №5'!J61</f>
        <v>16181.7</v>
      </c>
      <c r="J95" s="37">
        <f>'Прилож №5'!K61</f>
        <v>0</v>
      </c>
      <c r="K95" s="157"/>
      <c r="L95" s="221"/>
    </row>
    <row r="96" spans="1:12" s="3" customFormat="1" ht="15.75" customHeight="1">
      <c r="A96" s="133" t="s">
        <v>97</v>
      </c>
      <c r="B96" s="94" t="s">
        <v>184</v>
      </c>
      <c r="C96" s="91" t="s">
        <v>188</v>
      </c>
      <c r="D96" s="103"/>
      <c r="E96" s="91"/>
      <c r="F96" s="103"/>
      <c r="G96" s="75">
        <f>G97</f>
        <v>6060.900000000001</v>
      </c>
      <c r="H96" s="75">
        <f>H97</f>
        <v>2564</v>
      </c>
      <c r="I96" s="75">
        <f>I97</f>
        <v>4468.2</v>
      </c>
      <c r="J96" s="75">
        <f>J97</f>
        <v>982</v>
      </c>
      <c r="K96" s="254"/>
      <c r="L96" s="295"/>
    </row>
    <row r="97" spans="1:12" s="2" customFormat="1" ht="15.75" customHeight="1">
      <c r="A97" s="215" t="s">
        <v>97</v>
      </c>
      <c r="B97" s="41" t="s">
        <v>184</v>
      </c>
      <c r="C97" s="17" t="s">
        <v>188</v>
      </c>
      <c r="D97" s="29" t="s">
        <v>192</v>
      </c>
      <c r="E97" s="17"/>
      <c r="F97" s="29"/>
      <c r="G97" s="37">
        <f>G101+G98</f>
        <v>6060.900000000001</v>
      </c>
      <c r="H97" s="37">
        <f>H101+H98</f>
        <v>2564</v>
      </c>
      <c r="I97" s="37">
        <f>I101+I98</f>
        <v>4468.2</v>
      </c>
      <c r="J97" s="37">
        <f>J101+J98</f>
        <v>982</v>
      </c>
      <c r="K97" s="157"/>
      <c r="L97" s="221"/>
    </row>
    <row r="98" spans="1:12" s="2" customFormat="1" ht="15.75" customHeight="1">
      <c r="A98" s="26" t="s">
        <v>402</v>
      </c>
      <c r="B98" s="41" t="s">
        <v>184</v>
      </c>
      <c r="C98" s="17" t="s">
        <v>188</v>
      </c>
      <c r="D98" s="29" t="s">
        <v>403</v>
      </c>
      <c r="E98" s="17"/>
      <c r="F98" s="29"/>
      <c r="G98" s="37">
        <f>G99</f>
        <v>2564</v>
      </c>
      <c r="H98" s="37">
        <f aca="true" t="shared" si="14" ref="H98:J99">H99</f>
        <v>2564</v>
      </c>
      <c r="I98" s="37">
        <f t="shared" si="14"/>
        <v>982</v>
      </c>
      <c r="J98" s="37">
        <f t="shared" si="14"/>
        <v>982</v>
      </c>
      <c r="K98" s="157"/>
      <c r="L98" s="221"/>
    </row>
    <row r="99" spans="1:12" s="2" customFormat="1" ht="15.75" customHeight="1">
      <c r="A99" s="26" t="s">
        <v>404</v>
      </c>
      <c r="B99" s="41" t="s">
        <v>184</v>
      </c>
      <c r="C99" s="17" t="s">
        <v>188</v>
      </c>
      <c r="D99" s="29" t="s">
        <v>405</v>
      </c>
      <c r="E99" s="17"/>
      <c r="F99" s="29"/>
      <c r="G99" s="37">
        <f>G100</f>
        <v>2564</v>
      </c>
      <c r="H99" s="37">
        <f t="shared" si="14"/>
        <v>2564</v>
      </c>
      <c r="I99" s="37">
        <f t="shared" si="14"/>
        <v>982</v>
      </c>
      <c r="J99" s="37">
        <f t="shared" si="14"/>
        <v>982</v>
      </c>
      <c r="K99" s="157"/>
      <c r="L99" s="221"/>
    </row>
    <row r="100" spans="1:12" s="2" customFormat="1" ht="15.75" customHeight="1">
      <c r="A100" s="26" t="s">
        <v>406</v>
      </c>
      <c r="B100" s="41" t="s">
        <v>184</v>
      </c>
      <c r="C100" s="17" t="s">
        <v>188</v>
      </c>
      <c r="D100" s="29" t="s">
        <v>405</v>
      </c>
      <c r="E100" s="17" t="s">
        <v>407</v>
      </c>
      <c r="F100" s="29"/>
      <c r="G100" s="37">
        <f>'Прилож №5'!H66</f>
        <v>2564</v>
      </c>
      <c r="H100" s="37">
        <f>'Прилож №5'!I66</f>
        <v>2564</v>
      </c>
      <c r="I100" s="37">
        <f>'Прилож №5'!J66</f>
        <v>982</v>
      </c>
      <c r="J100" s="37">
        <f>'Прилож №5'!K66</f>
        <v>982</v>
      </c>
      <c r="K100" s="157"/>
      <c r="L100" s="221"/>
    </row>
    <row r="101" spans="1:12" s="2" customFormat="1" ht="15.75" customHeight="1">
      <c r="A101" s="215" t="s">
        <v>193</v>
      </c>
      <c r="B101" s="41" t="s">
        <v>184</v>
      </c>
      <c r="C101" s="17" t="s">
        <v>188</v>
      </c>
      <c r="D101" s="29" t="s">
        <v>194</v>
      </c>
      <c r="E101" s="17"/>
      <c r="F101" s="29"/>
      <c r="G101" s="37">
        <f>G102</f>
        <v>3496.9000000000005</v>
      </c>
      <c r="H101" s="37">
        <f aca="true" t="shared" si="15" ref="H101:J102">H102</f>
        <v>0</v>
      </c>
      <c r="I101" s="37">
        <f t="shared" si="15"/>
        <v>3486.2</v>
      </c>
      <c r="J101" s="37">
        <f t="shared" si="15"/>
        <v>0</v>
      </c>
      <c r="K101" s="157"/>
      <c r="L101" s="221"/>
    </row>
    <row r="102" spans="1:12" s="2" customFormat="1" ht="15.75" customHeight="1">
      <c r="A102" s="215" t="s">
        <v>300</v>
      </c>
      <c r="B102" s="41" t="s">
        <v>184</v>
      </c>
      <c r="C102" s="17" t="s">
        <v>188</v>
      </c>
      <c r="D102" s="29" t="s">
        <v>303</v>
      </c>
      <c r="E102" s="17"/>
      <c r="F102" s="29"/>
      <c r="G102" s="37">
        <f>G103</f>
        <v>3496.9000000000005</v>
      </c>
      <c r="H102" s="37">
        <f t="shared" si="15"/>
        <v>0</v>
      </c>
      <c r="I102" s="37">
        <f t="shared" si="15"/>
        <v>3486.2</v>
      </c>
      <c r="J102" s="37">
        <f t="shared" si="15"/>
        <v>0</v>
      </c>
      <c r="K102" s="157"/>
      <c r="L102" s="221"/>
    </row>
    <row r="103" spans="1:12" s="2" customFormat="1" ht="15.75" customHeight="1">
      <c r="A103" s="215" t="s">
        <v>302</v>
      </c>
      <c r="B103" s="41" t="s">
        <v>184</v>
      </c>
      <c r="C103" s="17" t="s">
        <v>188</v>
      </c>
      <c r="D103" s="29" t="s">
        <v>301</v>
      </c>
      <c r="E103" s="17" t="s">
        <v>266</v>
      </c>
      <c r="F103" s="29"/>
      <c r="G103" s="37">
        <f>'Прилож №5'!H69</f>
        <v>3496.9000000000005</v>
      </c>
      <c r="H103" s="37">
        <f>'Прилож №5'!I69</f>
        <v>0</v>
      </c>
      <c r="I103" s="37">
        <f>'Прилож №5'!J69</f>
        <v>3486.2</v>
      </c>
      <c r="J103" s="37">
        <f>'Прилож №5'!K69</f>
        <v>0</v>
      </c>
      <c r="K103" s="157"/>
      <c r="L103" s="221"/>
    </row>
    <row r="104" spans="1:12" s="22" customFormat="1" ht="15.75">
      <c r="A104" s="133" t="s">
        <v>65</v>
      </c>
      <c r="B104" s="94" t="s">
        <v>184</v>
      </c>
      <c r="C104" s="91" t="s">
        <v>185</v>
      </c>
      <c r="D104" s="103"/>
      <c r="E104" s="91"/>
      <c r="F104" s="103"/>
      <c r="G104" s="75">
        <f>G107+G110+G105</f>
        <v>3632.3999999999996</v>
      </c>
      <c r="H104" s="75">
        <f>H107+H110+H105</f>
        <v>0</v>
      </c>
      <c r="I104" s="75">
        <f>I107+I110+I105</f>
        <v>2936.3</v>
      </c>
      <c r="J104" s="75">
        <f>J107+J110+J105</f>
        <v>0</v>
      </c>
      <c r="K104" s="298"/>
      <c r="L104" s="294"/>
    </row>
    <row r="105" spans="1:12" s="22" customFormat="1" ht="15.75">
      <c r="A105" s="34" t="s">
        <v>395</v>
      </c>
      <c r="B105" s="41" t="s">
        <v>184</v>
      </c>
      <c r="C105" s="17" t="s">
        <v>185</v>
      </c>
      <c r="D105" s="29" t="s">
        <v>396</v>
      </c>
      <c r="E105" s="17"/>
      <c r="F105" s="29"/>
      <c r="G105" s="37">
        <f>G106</f>
        <v>2198.5</v>
      </c>
      <c r="H105" s="37">
        <f>H106</f>
        <v>0</v>
      </c>
      <c r="I105" s="37">
        <f>I106</f>
        <v>2197.6</v>
      </c>
      <c r="J105" s="37">
        <f>J106</f>
        <v>0</v>
      </c>
      <c r="K105" s="298"/>
      <c r="L105" s="294"/>
    </row>
    <row r="106" spans="1:12" s="22" customFormat="1" ht="15.75">
      <c r="A106" s="26" t="s">
        <v>142</v>
      </c>
      <c r="B106" s="41" t="s">
        <v>184</v>
      </c>
      <c r="C106" s="17" t="s">
        <v>185</v>
      </c>
      <c r="D106" s="29" t="s">
        <v>396</v>
      </c>
      <c r="E106" s="17" t="s">
        <v>266</v>
      </c>
      <c r="F106" s="29"/>
      <c r="G106" s="37">
        <f>'Прилож №5'!H72</f>
        <v>2198.5</v>
      </c>
      <c r="H106" s="37">
        <f>'Прилож №5'!I72</f>
        <v>0</v>
      </c>
      <c r="I106" s="37">
        <f>'Прилож №5'!J72</f>
        <v>2197.6</v>
      </c>
      <c r="J106" s="37">
        <f>'Прилож №5'!K72</f>
        <v>0</v>
      </c>
      <c r="K106" s="298"/>
      <c r="L106" s="294"/>
    </row>
    <row r="107" spans="1:12" s="46" customFormat="1" ht="30">
      <c r="A107" s="213" t="s">
        <v>107</v>
      </c>
      <c r="B107" s="41" t="s">
        <v>184</v>
      </c>
      <c r="C107" s="17" t="s">
        <v>185</v>
      </c>
      <c r="D107" s="29" t="s">
        <v>74</v>
      </c>
      <c r="E107" s="17"/>
      <c r="F107" s="29"/>
      <c r="G107" s="37">
        <f>G108</f>
        <v>1071.6</v>
      </c>
      <c r="H107" s="37">
        <f aca="true" t="shared" si="16" ref="H107:J108">H108</f>
        <v>0</v>
      </c>
      <c r="I107" s="37">
        <f t="shared" si="16"/>
        <v>516.4</v>
      </c>
      <c r="J107" s="37">
        <f t="shared" si="16"/>
        <v>0</v>
      </c>
      <c r="K107" s="297"/>
      <c r="L107" s="292"/>
    </row>
    <row r="108" spans="1:12" s="46" customFormat="1" ht="15.75">
      <c r="A108" s="213" t="s">
        <v>325</v>
      </c>
      <c r="B108" s="41" t="s">
        <v>184</v>
      </c>
      <c r="C108" s="17" t="s">
        <v>185</v>
      </c>
      <c r="D108" s="29" t="s">
        <v>326</v>
      </c>
      <c r="E108" s="19"/>
      <c r="F108" s="30"/>
      <c r="G108" s="35">
        <f>G109</f>
        <v>1071.6</v>
      </c>
      <c r="H108" s="35">
        <f t="shared" si="16"/>
        <v>0</v>
      </c>
      <c r="I108" s="35">
        <f t="shared" si="16"/>
        <v>516.4</v>
      </c>
      <c r="J108" s="35">
        <f t="shared" si="16"/>
        <v>0</v>
      </c>
      <c r="K108" s="297"/>
      <c r="L108" s="292"/>
    </row>
    <row r="109" spans="1:12" s="46" customFormat="1" ht="15.75">
      <c r="A109" s="216" t="s">
        <v>142</v>
      </c>
      <c r="B109" s="42" t="s">
        <v>184</v>
      </c>
      <c r="C109" s="19" t="s">
        <v>185</v>
      </c>
      <c r="D109" s="30" t="s">
        <v>326</v>
      </c>
      <c r="E109" s="19" t="s">
        <v>266</v>
      </c>
      <c r="F109" s="30"/>
      <c r="G109" s="35">
        <f>'Прилож №5'!H75</f>
        <v>1071.6</v>
      </c>
      <c r="H109" s="35">
        <f>'Прилож №5'!I75</f>
        <v>0</v>
      </c>
      <c r="I109" s="35">
        <f>'Прилож №5'!J75</f>
        <v>516.4</v>
      </c>
      <c r="J109" s="35">
        <f>'Прилож №5'!K75</f>
        <v>0</v>
      </c>
      <c r="K109" s="297"/>
      <c r="L109" s="292"/>
    </row>
    <row r="110" spans="1:12" s="46" customFormat="1" ht="15.75">
      <c r="A110" s="212" t="s">
        <v>127</v>
      </c>
      <c r="B110" s="41" t="s">
        <v>184</v>
      </c>
      <c r="C110" s="17" t="s">
        <v>185</v>
      </c>
      <c r="D110" s="29" t="s">
        <v>128</v>
      </c>
      <c r="E110" s="17"/>
      <c r="F110" s="29"/>
      <c r="G110" s="37">
        <f>G111</f>
        <v>362.3</v>
      </c>
      <c r="H110" s="37">
        <f aca="true" t="shared" si="17" ref="H110:J111">H111</f>
        <v>0</v>
      </c>
      <c r="I110" s="37">
        <f t="shared" si="17"/>
        <v>222.3</v>
      </c>
      <c r="J110" s="37">
        <f t="shared" si="17"/>
        <v>0</v>
      </c>
      <c r="K110" s="297"/>
      <c r="L110" s="292"/>
    </row>
    <row r="111" spans="1:12" s="46" customFormat="1" ht="39">
      <c r="A111" s="61" t="s">
        <v>348</v>
      </c>
      <c r="B111" s="41" t="s">
        <v>184</v>
      </c>
      <c r="C111" s="17" t="s">
        <v>185</v>
      </c>
      <c r="D111" s="29" t="s">
        <v>281</v>
      </c>
      <c r="E111" s="17"/>
      <c r="F111" s="29"/>
      <c r="G111" s="37">
        <f>G112</f>
        <v>362.3</v>
      </c>
      <c r="H111" s="37">
        <f t="shared" si="17"/>
        <v>0</v>
      </c>
      <c r="I111" s="37">
        <f t="shared" si="17"/>
        <v>222.3</v>
      </c>
      <c r="J111" s="37">
        <f t="shared" si="17"/>
        <v>0</v>
      </c>
      <c r="K111" s="297"/>
      <c r="L111" s="292"/>
    </row>
    <row r="112" spans="1:12" s="46" customFormat="1" ht="16.5" thickBot="1">
      <c r="A112" s="214" t="s">
        <v>142</v>
      </c>
      <c r="B112" s="42" t="s">
        <v>184</v>
      </c>
      <c r="C112" s="19" t="s">
        <v>185</v>
      </c>
      <c r="D112" s="30" t="s">
        <v>281</v>
      </c>
      <c r="E112" s="19" t="s">
        <v>266</v>
      </c>
      <c r="F112" s="30"/>
      <c r="G112" s="35">
        <f>'Прилож №5'!H78</f>
        <v>362.3</v>
      </c>
      <c r="H112" s="35">
        <f>'Прилож №5'!I78</f>
        <v>0</v>
      </c>
      <c r="I112" s="35">
        <f>'Прилож №5'!J78</f>
        <v>222.3</v>
      </c>
      <c r="J112" s="35">
        <f>'Прилож №5'!K78</f>
        <v>0</v>
      </c>
      <c r="K112" s="299"/>
      <c r="L112" s="300"/>
    </row>
    <row r="113" spans="1:12" s="46" customFormat="1" ht="16.5" thickBot="1">
      <c r="A113" s="210" t="s">
        <v>23</v>
      </c>
      <c r="B113" s="141" t="s">
        <v>196</v>
      </c>
      <c r="C113" s="18" t="s">
        <v>123</v>
      </c>
      <c r="D113" s="143"/>
      <c r="E113" s="18"/>
      <c r="F113" s="187"/>
      <c r="G113" s="38">
        <f>G114+G128+G150</f>
        <v>276844.7</v>
      </c>
      <c r="H113" s="38">
        <f>H114+H128+H150</f>
        <v>54173.299999999996</v>
      </c>
      <c r="I113" s="38">
        <f>I114+I128+I150</f>
        <v>227532.1</v>
      </c>
      <c r="J113" s="38">
        <f>J114+J128+J150</f>
        <v>49980.6</v>
      </c>
      <c r="K113" s="244">
        <f>I113/G113*100</f>
        <v>82.18763082695821</v>
      </c>
      <c r="L113" s="38">
        <f>J113/H113*100</f>
        <v>92.26057855068825</v>
      </c>
    </row>
    <row r="114" spans="1:12" s="46" customFormat="1" ht="15.75">
      <c r="A114" s="304" t="s">
        <v>68</v>
      </c>
      <c r="B114" s="13" t="s">
        <v>196</v>
      </c>
      <c r="C114" s="33" t="s">
        <v>182</v>
      </c>
      <c r="D114" s="43" t="s">
        <v>47</v>
      </c>
      <c r="E114" s="33" t="s">
        <v>49</v>
      </c>
      <c r="F114" s="43"/>
      <c r="G114" s="100">
        <f>G122+G115+G126</f>
        <v>83225.4</v>
      </c>
      <c r="H114" s="100">
        <f>H122+H115+H126</f>
        <v>0</v>
      </c>
      <c r="I114" s="100">
        <f>I122+I115+I126</f>
        <v>68149.50000000001</v>
      </c>
      <c r="J114" s="100">
        <f>J122+J115+J126</f>
        <v>0</v>
      </c>
      <c r="K114" s="296"/>
      <c r="L114" s="291"/>
    </row>
    <row r="115" spans="1:12" s="46" customFormat="1" ht="45">
      <c r="A115" s="213" t="s">
        <v>352</v>
      </c>
      <c r="B115" s="41" t="s">
        <v>196</v>
      </c>
      <c r="C115" s="17" t="s">
        <v>182</v>
      </c>
      <c r="D115" s="29" t="s">
        <v>353</v>
      </c>
      <c r="E115" s="17"/>
      <c r="F115" s="29"/>
      <c r="G115" s="37">
        <f>G116+G119</f>
        <v>31364</v>
      </c>
      <c r="H115" s="37">
        <f>H116+H119</f>
        <v>0</v>
      </c>
      <c r="I115" s="37">
        <f>I116+I119</f>
        <v>31019</v>
      </c>
      <c r="J115" s="37">
        <f>J116+J119</f>
        <v>0</v>
      </c>
      <c r="K115" s="297"/>
      <c r="L115" s="292"/>
    </row>
    <row r="116" spans="1:12" s="46" customFormat="1" ht="75">
      <c r="A116" s="213" t="s">
        <v>354</v>
      </c>
      <c r="B116" s="41" t="s">
        <v>196</v>
      </c>
      <c r="C116" s="17" t="s">
        <v>182</v>
      </c>
      <c r="D116" s="29" t="s">
        <v>355</v>
      </c>
      <c r="E116" s="17"/>
      <c r="F116" s="29"/>
      <c r="G116" s="37">
        <f>G117</f>
        <v>15682</v>
      </c>
      <c r="H116" s="37">
        <f aca="true" t="shared" si="18" ref="H116:J117">H117</f>
        <v>0</v>
      </c>
      <c r="I116" s="37">
        <f t="shared" si="18"/>
        <v>15509.5</v>
      </c>
      <c r="J116" s="37">
        <f t="shared" si="18"/>
        <v>0</v>
      </c>
      <c r="K116" s="297"/>
      <c r="L116" s="292"/>
    </row>
    <row r="117" spans="1:12" s="46" customFormat="1" ht="30">
      <c r="A117" s="213" t="s">
        <v>356</v>
      </c>
      <c r="B117" s="41" t="s">
        <v>196</v>
      </c>
      <c r="C117" s="17" t="s">
        <v>182</v>
      </c>
      <c r="D117" s="29" t="s">
        <v>357</v>
      </c>
      <c r="E117" s="17"/>
      <c r="F117" s="29"/>
      <c r="G117" s="37">
        <f>G118</f>
        <v>15682</v>
      </c>
      <c r="H117" s="37">
        <f t="shared" si="18"/>
        <v>0</v>
      </c>
      <c r="I117" s="37">
        <f t="shared" si="18"/>
        <v>15509.5</v>
      </c>
      <c r="J117" s="37">
        <f t="shared" si="18"/>
        <v>0</v>
      </c>
      <c r="K117" s="297"/>
      <c r="L117" s="292"/>
    </row>
    <row r="118" spans="1:12" s="46" customFormat="1" ht="15.75">
      <c r="A118" s="212" t="s">
        <v>358</v>
      </c>
      <c r="B118" s="41" t="s">
        <v>196</v>
      </c>
      <c r="C118" s="17" t="s">
        <v>182</v>
      </c>
      <c r="D118" s="29" t="s">
        <v>357</v>
      </c>
      <c r="E118" s="17" t="s">
        <v>359</v>
      </c>
      <c r="F118" s="29"/>
      <c r="G118" s="37">
        <f>'Прилож №5'!H84</f>
        <v>15682</v>
      </c>
      <c r="H118" s="37">
        <f>'Прилож №5'!I84</f>
        <v>0</v>
      </c>
      <c r="I118" s="37">
        <f>'Прилож №5'!J84</f>
        <v>15509.5</v>
      </c>
      <c r="J118" s="37">
        <f>'Прилож №5'!K84</f>
        <v>0</v>
      </c>
      <c r="K118" s="297"/>
      <c r="L118" s="292"/>
    </row>
    <row r="119" spans="1:12" s="46" customFormat="1" ht="45">
      <c r="A119" s="213" t="s">
        <v>360</v>
      </c>
      <c r="B119" s="41" t="s">
        <v>196</v>
      </c>
      <c r="C119" s="17" t="s">
        <v>182</v>
      </c>
      <c r="D119" s="29" t="s">
        <v>361</v>
      </c>
      <c r="E119" s="17"/>
      <c r="F119" s="29"/>
      <c r="G119" s="37">
        <f>G120</f>
        <v>15682</v>
      </c>
      <c r="H119" s="37">
        <f aca="true" t="shared" si="19" ref="H119:J120">H120</f>
        <v>0</v>
      </c>
      <c r="I119" s="37">
        <f t="shared" si="19"/>
        <v>15509.5</v>
      </c>
      <c r="J119" s="37">
        <f t="shared" si="19"/>
        <v>0</v>
      </c>
      <c r="K119" s="297"/>
      <c r="L119" s="292"/>
    </row>
    <row r="120" spans="1:12" s="46" customFormat="1" ht="30">
      <c r="A120" s="213" t="s">
        <v>362</v>
      </c>
      <c r="B120" s="41" t="s">
        <v>196</v>
      </c>
      <c r="C120" s="17" t="s">
        <v>182</v>
      </c>
      <c r="D120" s="29" t="s">
        <v>363</v>
      </c>
      <c r="E120" s="17"/>
      <c r="F120" s="29"/>
      <c r="G120" s="37">
        <f>G121</f>
        <v>15682</v>
      </c>
      <c r="H120" s="37">
        <f t="shared" si="19"/>
        <v>0</v>
      </c>
      <c r="I120" s="37">
        <f t="shared" si="19"/>
        <v>15509.5</v>
      </c>
      <c r="J120" s="37">
        <f t="shared" si="19"/>
        <v>0</v>
      </c>
      <c r="K120" s="297"/>
      <c r="L120" s="292"/>
    </row>
    <row r="121" spans="1:12" s="46" customFormat="1" ht="15.75">
      <c r="A121" s="212" t="s">
        <v>358</v>
      </c>
      <c r="B121" s="41" t="s">
        <v>196</v>
      </c>
      <c r="C121" s="17" t="s">
        <v>182</v>
      </c>
      <c r="D121" s="29" t="s">
        <v>363</v>
      </c>
      <c r="E121" s="17" t="s">
        <v>359</v>
      </c>
      <c r="F121" s="29"/>
      <c r="G121" s="37">
        <f>'Прилож №5'!H87</f>
        <v>15682</v>
      </c>
      <c r="H121" s="37">
        <f>'Прилож №5'!I87</f>
        <v>0</v>
      </c>
      <c r="I121" s="37">
        <f>'Прилож №5'!J87</f>
        <v>15509.5</v>
      </c>
      <c r="J121" s="37">
        <f>'Прилож №5'!K87</f>
        <v>0</v>
      </c>
      <c r="K121" s="297"/>
      <c r="L121" s="292"/>
    </row>
    <row r="122" spans="1:12" s="46" customFormat="1" ht="15.75">
      <c r="A122" s="212" t="s">
        <v>24</v>
      </c>
      <c r="B122" s="40" t="s">
        <v>196</v>
      </c>
      <c r="C122" s="21" t="s">
        <v>182</v>
      </c>
      <c r="D122" s="28" t="s">
        <v>25</v>
      </c>
      <c r="E122" s="21"/>
      <c r="F122" s="28"/>
      <c r="G122" s="36">
        <f>G123</f>
        <v>51561.4</v>
      </c>
      <c r="H122" s="36">
        <f>H123</f>
        <v>0</v>
      </c>
      <c r="I122" s="36">
        <f>I123</f>
        <v>36841.200000000004</v>
      </c>
      <c r="J122" s="36">
        <f>J123</f>
        <v>0</v>
      </c>
      <c r="K122" s="297"/>
      <c r="L122" s="292"/>
    </row>
    <row r="123" spans="1:12" s="46" customFormat="1" ht="15.75">
      <c r="A123" s="215" t="s">
        <v>197</v>
      </c>
      <c r="B123" s="40" t="s">
        <v>196</v>
      </c>
      <c r="C123" s="21" t="s">
        <v>182</v>
      </c>
      <c r="D123" s="28" t="s">
        <v>198</v>
      </c>
      <c r="E123" s="21"/>
      <c r="F123" s="28"/>
      <c r="G123" s="36">
        <f>G124+G125</f>
        <v>51561.4</v>
      </c>
      <c r="H123" s="36">
        <f>H124+H125</f>
        <v>0</v>
      </c>
      <c r="I123" s="36">
        <f>I124+I125</f>
        <v>36841.200000000004</v>
      </c>
      <c r="J123" s="36">
        <f>J124+J125</f>
        <v>0</v>
      </c>
      <c r="K123" s="297"/>
      <c r="L123" s="292"/>
    </row>
    <row r="124" spans="1:12" s="46" customFormat="1" ht="15.75">
      <c r="A124" s="212" t="s">
        <v>177</v>
      </c>
      <c r="B124" s="41" t="s">
        <v>196</v>
      </c>
      <c r="C124" s="21" t="s">
        <v>182</v>
      </c>
      <c r="D124" s="28" t="s">
        <v>198</v>
      </c>
      <c r="E124" s="21" t="s">
        <v>85</v>
      </c>
      <c r="F124" s="28"/>
      <c r="G124" s="36">
        <f>'Прилож №5'!H90</f>
        <v>0</v>
      </c>
      <c r="H124" s="36">
        <f>'Прилож №5'!I90</f>
        <v>0</v>
      </c>
      <c r="I124" s="36">
        <f>'Прилож №5'!J90</f>
        <v>0</v>
      </c>
      <c r="J124" s="36">
        <f>'Прилож №5'!K90</f>
        <v>0</v>
      </c>
      <c r="K124" s="297"/>
      <c r="L124" s="292"/>
    </row>
    <row r="125" spans="1:12" s="46" customFormat="1" ht="15.75">
      <c r="A125" s="215" t="s">
        <v>142</v>
      </c>
      <c r="B125" s="41" t="s">
        <v>196</v>
      </c>
      <c r="C125" s="21" t="s">
        <v>182</v>
      </c>
      <c r="D125" s="28" t="s">
        <v>198</v>
      </c>
      <c r="E125" s="21" t="s">
        <v>266</v>
      </c>
      <c r="F125" s="28"/>
      <c r="G125" s="36">
        <f>'Прилож №5'!H91+'Прилож №5'!H414</f>
        <v>51561.4</v>
      </c>
      <c r="H125" s="36">
        <f>'Прилож №5'!I91+'Прилож №5'!I414</f>
        <v>0</v>
      </c>
      <c r="I125" s="36">
        <f>'Прилож №5'!J91+'Прилож №5'!J414</f>
        <v>36841.200000000004</v>
      </c>
      <c r="J125" s="36">
        <f>'Прилож №5'!K91+'Прилож №5'!K414</f>
        <v>0</v>
      </c>
      <c r="K125" s="297"/>
      <c r="L125" s="292"/>
    </row>
    <row r="126" spans="1:12" s="46" customFormat="1" ht="15.75">
      <c r="A126" s="24" t="s">
        <v>127</v>
      </c>
      <c r="B126" s="17" t="s">
        <v>196</v>
      </c>
      <c r="C126" s="29" t="s">
        <v>182</v>
      </c>
      <c r="D126" s="17" t="s">
        <v>440</v>
      </c>
      <c r="E126" s="29"/>
      <c r="F126" s="76"/>
      <c r="G126" s="36">
        <f>'Прилож №5'!H93</f>
        <v>300</v>
      </c>
      <c r="H126" s="36">
        <f>'Прилож №5'!I93</f>
        <v>0</v>
      </c>
      <c r="I126" s="36">
        <f>'Прилож №5'!J93</f>
        <v>289.3</v>
      </c>
      <c r="J126" s="36">
        <f>'Прилож №5'!K93</f>
        <v>0</v>
      </c>
      <c r="K126" s="297"/>
      <c r="L126" s="292"/>
    </row>
    <row r="127" spans="1:12" s="46" customFormat="1" ht="39">
      <c r="A127" s="61" t="s">
        <v>439</v>
      </c>
      <c r="B127" s="17" t="s">
        <v>196</v>
      </c>
      <c r="C127" s="29" t="s">
        <v>182</v>
      </c>
      <c r="D127" s="17" t="s">
        <v>440</v>
      </c>
      <c r="E127" s="29" t="s">
        <v>266</v>
      </c>
      <c r="F127" s="76" t="s">
        <v>266</v>
      </c>
      <c r="G127" s="36">
        <f>'Прилож №5'!H94</f>
        <v>300</v>
      </c>
      <c r="H127" s="36">
        <f>'Прилож №5'!I94</f>
        <v>0</v>
      </c>
      <c r="I127" s="36">
        <f>'Прилож №5'!J94</f>
        <v>289.3</v>
      </c>
      <c r="J127" s="36">
        <f>'Прилож №5'!K94</f>
        <v>0</v>
      </c>
      <c r="K127" s="297"/>
      <c r="L127" s="292"/>
    </row>
    <row r="128" spans="1:12" s="46" customFormat="1" ht="15.75">
      <c r="A128" s="209" t="s">
        <v>3</v>
      </c>
      <c r="B128" s="41" t="s">
        <v>196</v>
      </c>
      <c r="C128" s="17" t="s">
        <v>183</v>
      </c>
      <c r="D128" s="28"/>
      <c r="E128" s="21"/>
      <c r="F128" s="103"/>
      <c r="G128" s="75">
        <f>G133+G129+G146+G138</f>
        <v>128827.59999999999</v>
      </c>
      <c r="H128" s="75">
        <f>H133+H129+H146+H138</f>
        <v>54173.299999999996</v>
      </c>
      <c r="I128" s="75">
        <f>I133+I129+I146+I138</f>
        <v>98243.70000000001</v>
      </c>
      <c r="J128" s="75">
        <f>J133+J129+J146+J138</f>
        <v>49980.6</v>
      </c>
      <c r="K128" s="297"/>
      <c r="L128" s="292"/>
    </row>
    <row r="129" spans="1:12" s="46" customFormat="1" ht="30">
      <c r="A129" s="207" t="s">
        <v>202</v>
      </c>
      <c r="B129" s="40" t="s">
        <v>196</v>
      </c>
      <c r="C129" s="17" t="s">
        <v>183</v>
      </c>
      <c r="D129" s="28" t="s">
        <v>69</v>
      </c>
      <c r="E129" s="21"/>
      <c r="F129" s="28"/>
      <c r="G129" s="36">
        <f aca="true" t="shared" si="20" ref="G129:J131">G130</f>
        <v>1409.5</v>
      </c>
      <c r="H129" s="36">
        <f t="shared" si="20"/>
        <v>0</v>
      </c>
      <c r="I129" s="36">
        <f t="shared" si="20"/>
        <v>1409.5</v>
      </c>
      <c r="J129" s="36">
        <f t="shared" si="20"/>
        <v>0</v>
      </c>
      <c r="K129" s="297"/>
      <c r="L129" s="292"/>
    </row>
    <row r="130" spans="1:12" s="46" customFormat="1" ht="60">
      <c r="A130" s="207" t="s">
        <v>203</v>
      </c>
      <c r="B130" s="40" t="s">
        <v>196</v>
      </c>
      <c r="C130" s="17" t="s">
        <v>183</v>
      </c>
      <c r="D130" s="28" t="s">
        <v>204</v>
      </c>
      <c r="E130" s="21"/>
      <c r="F130" s="28"/>
      <c r="G130" s="36">
        <f t="shared" si="20"/>
        <v>1409.5</v>
      </c>
      <c r="H130" s="36">
        <f t="shared" si="20"/>
        <v>0</v>
      </c>
      <c r="I130" s="36">
        <f t="shared" si="20"/>
        <v>1409.5</v>
      </c>
      <c r="J130" s="36">
        <f t="shared" si="20"/>
        <v>0</v>
      </c>
      <c r="K130" s="297"/>
      <c r="L130" s="292"/>
    </row>
    <row r="131" spans="1:12" s="46" customFormat="1" ht="30">
      <c r="A131" s="207" t="s">
        <v>236</v>
      </c>
      <c r="B131" s="40" t="s">
        <v>196</v>
      </c>
      <c r="C131" s="17" t="s">
        <v>183</v>
      </c>
      <c r="D131" s="28" t="s">
        <v>237</v>
      </c>
      <c r="E131" s="21"/>
      <c r="F131" s="28"/>
      <c r="G131" s="36">
        <f t="shared" si="20"/>
        <v>1409.5</v>
      </c>
      <c r="H131" s="36">
        <f t="shared" si="20"/>
        <v>0</v>
      </c>
      <c r="I131" s="36">
        <f t="shared" si="20"/>
        <v>1409.5</v>
      </c>
      <c r="J131" s="36">
        <f t="shared" si="20"/>
        <v>0</v>
      </c>
      <c r="K131" s="297"/>
      <c r="L131" s="292"/>
    </row>
    <row r="132" spans="1:12" s="46" customFormat="1" ht="15.75">
      <c r="A132" s="207" t="s">
        <v>205</v>
      </c>
      <c r="B132" s="40" t="s">
        <v>196</v>
      </c>
      <c r="C132" s="17" t="s">
        <v>183</v>
      </c>
      <c r="D132" s="28" t="s">
        <v>237</v>
      </c>
      <c r="E132" s="21" t="s">
        <v>66</v>
      </c>
      <c r="F132" s="31"/>
      <c r="G132" s="36">
        <f>'Прилож №5'!H99</f>
        <v>1409.5</v>
      </c>
      <c r="H132" s="36">
        <f>'Прилож №5'!I99</f>
        <v>0</v>
      </c>
      <c r="I132" s="36">
        <f>'Прилож №5'!J99</f>
        <v>1409.5</v>
      </c>
      <c r="J132" s="36">
        <f>'Прилож №5'!K99</f>
        <v>0</v>
      </c>
      <c r="K132" s="297"/>
      <c r="L132" s="292"/>
    </row>
    <row r="133" spans="1:12" s="46" customFormat="1" ht="15.75">
      <c r="A133" s="212" t="s">
        <v>54</v>
      </c>
      <c r="B133" s="40" t="s">
        <v>196</v>
      </c>
      <c r="C133" s="17" t="s">
        <v>183</v>
      </c>
      <c r="D133" s="29" t="s">
        <v>73</v>
      </c>
      <c r="E133" s="265"/>
      <c r="F133" s="261" t="e">
        <f>#REF!</f>
        <v>#REF!</v>
      </c>
      <c r="G133" s="36">
        <f>G134</f>
        <v>25869.6</v>
      </c>
      <c r="H133" s="36">
        <f>H134</f>
        <v>0</v>
      </c>
      <c r="I133" s="36">
        <f>I134</f>
        <v>5268.3</v>
      </c>
      <c r="J133" s="36">
        <f>J134</f>
        <v>0</v>
      </c>
      <c r="K133" s="297"/>
      <c r="L133" s="292"/>
    </row>
    <row r="134" spans="1:12" s="46" customFormat="1" ht="15.75">
      <c r="A134" s="202" t="s">
        <v>276</v>
      </c>
      <c r="B134" s="41" t="s">
        <v>196</v>
      </c>
      <c r="C134" s="17" t="s">
        <v>183</v>
      </c>
      <c r="D134" s="29" t="s">
        <v>277</v>
      </c>
      <c r="E134" s="17"/>
      <c r="F134" s="29"/>
      <c r="G134" s="37">
        <f>G135+G136+G137</f>
        <v>25869.6</v>
      </c>
      <c r="H134" s="37">
        <f>H135+H136+H137</f>
        <v>0</v>
      </c>
      <c r="I134" s="37">
        <f>I135+I136+I137</f>
        <v>5268.3</v>
      </c>
      <c r="J134" s="37">
        <f>J135+J136+J137</f>
        <v>0</v>
      </c>
      <c r="K134" s="297"/>
      <c r="L134" s="292"/>
    </row>
    <row r="135" spans="1:12" s="46" customFormat="1" ht="15.75">
      <c r="A135" s="214" t="s">
        <v>142</v>
      </c>
      <c r="B135" s="41" t="s">
        <v>196</v>
      </c>
      <c r="C135" s="17" t="s">
        <v>183</v>
      </c>
      <c r="D135" s="29" t="s">
        <v>277</v>
      </c>
      <c r="E135" s="17" t="s">
        <v>266</v>
      </c>
      <c r="F135" s="29"/>
      <c r="G135" s="37">
        <f>'Прилож №5'!H419+'Прилож №5'!H101</f>
        <v>3075</v>
      </c>
      <c r="H135" s="37">
        <f>'Прилож №5'!I419+'Прилож №5'!I101</f>
        <v>0</v>
      </c>
      <c r="I135" s="37">
        <f>'Прилож №5'!J419+'Прилож №5'!J101</f>
        <v>2768.3</v>
      </c>
      <c r="J135" s="37">
        <f>'Прилож №5'!K419+'Прилож №5'!K101</f>
        <v>0</v>
      </c>
      <c r="K135" s="297"/>
      <c r="L135" s="292"/>
    </row>
    <row r="136" spans="1:12" s="46" customFormat="1" ht="15.75">
      <c r="A136" s="212" t="s">
        <v>177</v>
      </c>
      <c r="B136" s="41" t="s">
        <v>196</v>
      </c>
      <c r="C136" s="17" t="s">
        <v>183</v>
      </c>
      <c r="D136" s="29" t="s">
        <v>340</v>
      </c>
      <c r="E136" s="17" t="s">
        <v>85</v>
      </c>
      <c r="F136" s="29"/>
      <c r="G136" s="37">
        <f>'Прилож №5'!H103</f>
        <v>0</v>
      </c>
      <c r="H136" s="37">
        <f>'Прилож №5'!I103</f>
        <v>0</v>
      </c>
      <c r="I136" s="37">
        <f>'Прилож №5'!J103</f>
        <v>0</v>
      </c>
      <c r="J136" s="37">
        <f>'Прилож №5'!K103</f>
        <v>0</v>
      </c>
      <c r="K136" s="297"/>
      <c r="L136" s="292"/>
    </row>
    <row r="137" spans="1:12" s="46" customFormat="1" ht="15.75">
      <c r="A137" s="214" t="s">
        <v>142</v>
      </c>
      <c r="B137" s="41" t="s">
        <v>196</v>
      </c>
      <c r="C137" s="17" t="s">
        <v>183</v>
      </c>
      <c r="D137" s="29" t="s">
        <v>340</v>
      </c>
      <c r="E137" s="17" t="s">
        <v>266</v>
      </c>
      <c r="F137" s="29"/>
      <c r="G137" s="37">
        <f>'Прилож №5'!H104</f>
        <v>22794.6</v>
      </c>
      <c r="H137" s="37">
        <f>'Прилож №5'!I104</f>
        <v>0</v>
      </c>
      <c r="I137" s="37">
        <f>'Прилож №5'!J104</f>
        <v>2500</v>
      </c>
      <c r="J137" s="37">
        <f>'Прилож №5'!K104</f>
        <v>0</v>
      </c>
      <c r="K137" s="297"/>
      <c r="L137" s="292"/>
    </row>
    <row r="138" spans="1:12" s="46" customFormat="1" ht="30">
      <c r="A138" s="202" t="s">
        <v>364</v>
      </c>
      <c r="B138" s="41" t="s">
        <v>196</v>
      </c>
      <c r="C138" s="17" t="s">
        <v>183</v>
      </c>
      <c r="D138" s="29" t="s">
        <v>365</v>
      </c>
      <c r="E138" s="17"/>
      <c r="F138" s="29"/>
      <c r="G138" s="37">
        <f>G139+G140</f>
        <v>77984.79999999999</v>
      </c>
      <c r="H138" s="37">
        <f>H139+H140</f>
        <v>54173.299999999996</v>
      </c>
      <c r="I138" s="37">
        <f>I139+I140</f>
        <v>73792.1</v>
      </c>
      <c r="J138" s="37">
        <f>J139+J140</f>
        <v>49980.6</v>
      </c>
      <c r="K138" s="297"/>
      <c r="L138" s="292"/>
    </row>
    <row r="139" spans="1:12" s="46" customFormat="1" ht="15.75">
      <c r="A139" s="213" t="s">
        <v>366</v>
      </c>
      <c r="B139" s="41" t="s">
        <v>196</v>
      </c>
      <c r="C139" s="17" t="s">
        <v>183</v>
      </c>
      <c r="D139" s="29" t="s">
        <v>425</v>
      </c>
      <c r="E139" s="17"/>
      <c r="F139" s="29"/>
      <c r="G139" s="37">
        <f>G143</f>
        <v>54173.299999999996</v>
      </c>
      <c r="H139" s="37">
        <f>H143</f>
        <v>54173.299999999996</v>
      </c>
      <c r="I139" s="37">
        <f>I143</f>
        <v>49980.6</v>
      </c>
      <c r="J139" s="37">
        <f>J143</f>
        <v>49980.6</v>
      </c>
      <c r="K139" s="297"/>
      <c r="L139" s="292"/>
    </row>
    <row r="140" spans="1:12" s="46" customFormat="1" ht="15.75">
      <c r="A140" s="34" t="s">
        <v>433</v>
      </c>
      <c r="B140" s="17" t="s">
        <v>196</v>
      </c>
      <c r="C140" s="29" t="s">
        <v>183</v>
      </c>
      <c r="D140" s="17" t="s">
        <v>425</v>
      </c>
      <c r="E140" s="29" t="s">
        <v>66</v>
      </c>
      <c r="F140" s="76" t="s">
        <v>66</v>
      </c>
      <c r="G140" s="37">
        <f>G141+G142</f>
        <v>23811.5</v>
      </c>
      <c r="H140" s="37">
        <f>H141+H142</f>
        <v>0</v>
      </c>
      <c r="I140" s="37">
        <f>I141+I142</f>
        <v>23811.5</v>
      </c>
      <c r="J140" s="37">
        <f>J141+J142</f>
        <v>0</v>
      </c>
      <c r="K140" s="297"/>
      <c r="L140" s="292"/>
    </row>
    <row r="141" spans="1:12" s="46" customFormat="1" ht="64.5">
      <c r="A141" s="44" t="s">
        <v>422</v>
      </c>
      <c r="B141" s="17" t="s">
        <v>196</v>
      </c>
      <c r="C141" s="29" t="s">
        <v>183</v>
      </c>
      <c r="D141" s="17" t="s">
        <v>425</v>
      </c>
      <c r="E141" s="29" t="s">
        <v>66</v>
      </c>
      <c r="F141" s="76" t="s">
        <v>66</v>
      </c>
      <c r="G141" s="37">
        <f>'Прилож №5'!H108</f>
        <v>2100</v>
      </c>
      <c r="H141" s="37">
        <f>'Прилож №5'!I108</f>
        <v>0</v>
      </c>
      <c r="I141" s="37">
        <f>'Прилож №5'!J108</f>
        <v>2100</v>
      </c>
      <c r="J141" s="37">
        <f>'Прилож №5'!K108</f>
        <v>0</v>
      </c>
      <c r="K141" s="297"/>
      <c r="L141" s="292"/>
    </row>
    <row r="142" spans="1:12" s="46" customFormat="1" ht="64.5">
      <c r="A142" s="44" t="s">
        <v>424</v>
      </c>
      <c r="B142" s="17" t="s">
        <v>196</v>
      </c>
      <c r="C142" s="29" t="s">
        <v>183</v>
      </c>
      <c r="D142" s="17" t="s">
        <v>432</v>
      </c>
      <c r="E142" s="29" t="s">
        <v>66</v>
      </c>
      <c r="F142" s="76" t="s">
        <v>66</v>
      </c>
      <c r="G142" s="37">
        <f>'Прилож №5'!H109</f>
        <v>21711.5</v>
      </c>
      <c r="H142" s="37">
        <f>'Прилож №5'!I109</f>
        <v>0</v>
      </c>
      <c r="I142" s="37">
        <f>'Прилож №5'!J109</f>
        <v>21711.5</v>
      </c>
      <c r="J142" s="37">
        <f>'Прилож №5'!K109</f>
        <v>0</v>
      </c>
      <c r="K142" s="297"/>
      <c r="L142" s="292"/>
    </row>
    <row r="143" spans="1:12" s="46" customFormat="1" ht="39">
      <c r="A143" s="44" t="s">
        <v>434</v>
      </c>
      <c r="B143" s="17" t="s">
        <v>196</v>
      </c>
      <c r="C143" s="29" t="s">
        <v>183</v>
      </c>
      <c r="D143" s="17" t="s">
        <v>425</v>
      </c>
      <c r="E143" s="29" t="s">
        <v>66</v>
      </c>
      <c r="F143" s="76" t="s">
        <v>423</v>
      </c>
      <c r="G143" s="37">
        <f>G144+G145</f>
        <v>54173.299999999996</v>
      </c>
      <c r="H143" s="37">
        <f>H144+H145</f>
        <v>54173.299999999996</v>
      </c>
      <c r="I143" s="37">
        <f>I144+I145</f>
        <v>49980.6</v>
      </c>
      <c r="J143" s="37">
        <f>J144+J145</f>
        <v>49980.6</v>
      </c>
      <c r="K143" s="297"/>
      <c r="L143" s="292"/>
    </row>
    <row r="144" spans="1:12" s="46" customFormat="1" ht="64.5">
      <c r="A144" s="44" t="s">
        <v>424</v>
      </c>
      <c r="B144" s="17" t="s">
        <v>196</v>
      </c>
      <c r="C144" s="29" t="s">
        <v>183</v>
      </c>
      <c r="D144" s="17" t="s">
        <v>425</v>
      </c>
      <c r="E144" s="29" t="s">
        <v>66</v>
      </c>
      <c r="F144" s="76" t="s">
        <v>423</v>
      </c>
      <c r="G144" s="37">
        <f>'Прилож №5'!H111</f>
        <v>10382.1</v>
      </c>
      <c r="H144" s="37">
        <f>'Прилож №5'!I111</f>
        <v>10382.1</v>
      </c>
      <c r="I144" s="37">
        <f>'Прилож №5'!J111</f>
        <v>6189.4</v>
      </c>
      <c r="J144" s="37">
        <f>'Прилож №5'!K111</f>
        <v>6189.4</v>
      </c>
      <c r="K144" s="297"/>
      <c r="L144" s="292"/>
    </row>
    <row r="145" spans="1:12" s="46" customFormat="1" ht="64.5">
      <c r="A145" s="44" t="s">
        <v>422</v>
      </c>
      <c r="B145" s="17" t="s">
        <v>196</v>
      </c>
      <c r="C145" s="29" t="s">
        <v>183</v>
      </c>
      <c r="D145" s="17" t="s">
        <v>425</v>
      </c>
      <c r="E145" s="29" t="s">
        <v>66</v>
      </c>
      <c r="F145" s="76" t="s">
        <v>423</v>
      </c>
      <c r="G145" s="37">
        <f>'Прилож №5'!H112</f>
        <v>43791.2</v>
      </c>
      <c r="H145" s="37">
        <f>'Прилож №5'!I112</f>
        <v>43791.2</v>
      </c>
      <c r="I145" s="37">
        <f>'Прилож №5'!J112</f>
        <v>43791.2</v>
      </c>
      <c r="J145" s="37">
        <f>'Прилож №5'!K112</f>
        <v>43791.2</v>
      </c>
      <c r="K145" s="297"/>
      <c r="L145" s="292"/>
    </row>
    <row r="146" spans="1:12" s="46" customFormat="1" ht="15.75">
      <c r="A146" s="25" t="s">
        <v>127</v>
      </c>
      <c r="B146" s="41" t="s">
        <v>196</v>
      </c>
      <c r="C146" s="17" t="s">
        <v>183</v>
      </c>
      <c r="D146" s="29" t="s">
        <v>128</v>
      </c>
      <c r="E146" s="17"/>
      <c r="F146" s="29"/>
      <c r="G146" s="37">
        <f>G147</f>
        <v>23563.7</v>
      </c>
      <c r="H146" s="37">
        <f>H147</f>
        <v>0</v>
      </c>
      <c r="I146" s="37">
        <f>I147</f>
        <v>17773.8</v>
      </c>
      <c r="J146" s="37">
        <f>J147</f>
        <v>0</v>
      </c>
      <c r="K146" s="297"/>
      <c r="L146" s="292"/>
    </row>
    <row r="147" spans="1:12" s="46" customFormat="1" ht="26.25">
      <c r="A147" s="45" t="s">
        <v>346</v>
      </c>
      <c r="B147" s="41" t="s">
        <v>196</v>
      </c>
      <c r="C147" s="17" t="s">
        <v>183</v>
      </c>
      <c r="D147" s="29" t="s">
        <v>256</v>
      </c>
      <c r="E147" s="17"/>
      <c r="F147" s="29"/>
      <c r="G147" s="37">
        <f>G148+G149</f>
        <v>23563.7</v>
      </c>
      <c r="H147" s="37">
        <f>H148+H149</f>
        <v>0</v>
      </c>
      <c r="I147" s="37">
        <f>I148+I149</f>
        <v>17773.8</v>
      </c>
      <c r="J147" s="37">
        <f>J148+J149</f>
        <v>0</v>
      </c>
      <c r="K147" s="297"/>
      <c r="L147" s="292"/>
    </row>
    <row r="148" spans="1:12" s="46" customFormat="1" ht="15.75">
      <c r="A148" s="207" t="s">
        <v>205</v>
      </c>
      <c r="B148" s="41" t="s">
        <v>196</v>
      </c>
      <c r="C148" s="17" t="s">
        <v>183</v>
      </c>
      <c r="D148" s="29" t="s">
        <v>256</v>
      </c>
      <c r="E148" s="17" t="s">
        <v>66</v>
      </c>
      <c r="F148" s="29"/>
      <c r="G148" s="37">
        <f>'Прилож №5'!H115</f>
        <v>21605</v>
      </c>
      <c r="H148" s="37">
        <f>'Прилож №5'!I115</f>
        <v>0</v>
      </c>
      <c r="I148" s="37">
        <f>'Прилож №5'!J115</f>
        <v>15815.1</v>
      </c>
      <c r="J148" s="37">
        <f>'Прилож №5'!K115</f>
        <v>0</v>
      </c>
      <c r="K148" s="297"/>
      <c r="L148" s="292"/>
    </row>
    <row r="149" spans="1:12" s="46" customFormat="1" ht="15.75">
      <c r="A149" s="214" t="s">
        <v>142</v>
      </c>
      <c r="B149" s="41" t="s">
        <v>196</v>
      </c>
      <c r="C149" s="17" t="s">
        <v>183</v>
      </c>
      <c r="D149" s="29" t="s">
        <v>256</v>
      </c>
      <c r="E149" s="17" t="s">
        <v>266</v>
      </c>
      <c r="F149" s="29"/>
      <c r="G149" s="37">
        <f>'Прилож №5'!H116</f>
        <v>1958.7</v>
      </c>
      <c r="H149" s="37">
        <f>'Прилож №5'!I116</f>
        <v>0</v>
      </c>
      <c r="I149" s="37">
        <f>'Прилож №5'!J116</f>
        <v>1958.7</v>
      </c>
      <c r="J149" s="37">
        <f>'Прилож №5'!K116</f>
        <v>0</v>
      </c>
      <c r="K149" s="297"/>
      <c r="L149" s="292"/>
    </row>
    <row r="150" spans="1:12" s="22" customFormat="1" ht="15.75">
      <c r="A150" s="217" t="s">
        <v>130</v>
      </c>
      <c r="B150" s="94" t="s">
        <v>196</v>
      </c>
      <c r="C150" s="91" t="s">
        <v>187</v>
      </c>
      <c r="D150" s="103"/>
      <c r="E150" s="91"/>
      <c r="F150" s="103"/>
      <c r="G150" s="75">
        <f>G151+G162</f>
        <v>64791.7</v>
      </c>
      <c r="H150" s="75">
        <f>H151+H162</f>
        <v>0</v>
      </c>
      <c r="I150" s="75">
        <f>I151+I162</f>
        <v>61138.9</v>
      </c>
      <c r="J150" s="75">
        <f>J151+J162</f>
        <v>0</v>
      </c>
      <c r="K150" s="298"/>
      <c r="L150" s="294"/>
    </row>
    <row r="151" spans="1:12" s="46" customFormat="1" ht="15.75">
      <c r="A151" s="24" t="s">
        <v>130</v>
      </c>
      <c r="B151" s="41" t="s">
        <v>196</v>
      </c>
      <c r="C151" s="17" t="s">
        <v>187</v>
      </c>
      <c r="D151" s="30" t="s">
        <v>278</v>
      </c>
      <c r="E151" s="17"/>
      <c r="F151" s="29"/>
      <c r="G151" s="37">
        <f>G152+G154+G156+G158+G160</f>
        <v>60880.899999999994</v>
      </c>
      <c r="H151" s="37">
        <f>H152+H154+H156+H158+H160</f>
        <v>0</v>
      </c>
      <c r="I151" s="37">
        <f>I152+I154+I156+I158+I160</f>
        <v>57228.1</v>
      </c>
      <c r="J151" s="37">
        <f>J152+J154+J156+J158+J160</f>
        <v>0</v>
      </c>
      <c r="K151" s="297"/>
      <c r="L151" s="292"/>
    </row>
    <row r="152" spans="1:12" s="46" customFormat="1" ht="15.75">
      <c r="A152" s="24" t="s">
        <v>304</v>
      </c>
      <c r="B152" s="41" t="s">
        <v>196</v>
      </c>
      <c r="C152" s="17" t="s">
        <v>187</v>
      </c>
      <c r="D152" s="30" t="s">
        <v>305</v>
      </c>
      <c r="E152" s="17"/>
      <c r="F152" s="29"/>
      <c r="G152" s="37">
        <f>G153</f>
        <v>15191.800000000001</v>
      </c>
      <c r="H152" s="37">
        <f>H153</f>
        <v>0</v>
      </c>
      <c r="I152" s="37">
        <f>I153</f>
        <v>13775.2</v>
      </c>
      <c r="J152" s="37">
        <f>J153</f>
        <v>0</v>
      </c>
      <c r="K152" s="297"/>
      <c r="L152" s="292"/>
    </row>
    <row r="153" spans="1:12" s="46" customFormat="1" ht="15.75">
      <c r="A153" s="26" t="s">
        <v>142</v>
      </c>
      <c r="B153" s="41" t="s">
        <v>196</v>
      </c>
      <c r="C153" s="17" t="s">
        <v>187</v>
      </c>
      <c r="D153" s="30" t="s">
        <v>305</v>
      </c>
      <c r="E153" s="17" t="s">
        <v>266</v>
      </c>
      <c r="F153" s="29"/>
      <c r="G153" s="37">
        <f>'Прилож №5'!H120</f>
        <v>15191.800000000001</v>
      </c>
      <c r="H153" s="37">
        <f>'Прилож №5'!I120</f>
        <v>0</v>
      </c>
      <c r="I153" s="37">
        <f>'Прилож №5'!J120</f>
        <v>13775.2</v>
      </c>
      <c r="J153" s="37">
        <f>'Прилож №5'!K120</f>
        <v>0</v>
      </c>
      <c r="K153" s="297"/>
      <c r="L153" s="292"/>
    </row>
    <row r="154" spans="1:12" s="46" customFormat="1" ht="39">
      <c r="A154" s="173" t="s">
        <v>279</v>
      </c>
      <c r="B154" s="41" t="s">
        <v>196</v>
      </c>
      <c r="C154" s="17" t="s">
        <v>187</v>
      </c>
      <c r="D154" s="30" t="s">
        <v>280</v>
      </c>
      <c r="E154" s="17"/>
      <c r="F154" s="29"/>
      <c r="G154" s="37">
        <f>G155</f>
        <v>7908.2</v>
      </c>
      <c r="H154" s="37">
        <f>H155</f>
        <v>0</v>
      </c>
      <c r="I154" s="37">
        <f>I155</f>
        <v>6620.3</v>
      </c>
      <c r="J154" s="37">
        <f>J155</f>
        <v>0</v>
      </c>
      <c r="K154" s="297"/>
      <c r="L154" s="292"/>
    </row>
    <row r="155" spans="1:12" s="46" customFormat="1" ht="15.75">
      <c r="A155" s="26" t="s">
        <v>142</v>
      </c>
      <c r="B155" s="41" t="s">
        <v>196</v>
      </c>
      <c r="C155" s="17" t="s">
        <v>187</v>
      </c>
      <c r="D155" s="30" t="s">
        <v>280</v>
      </c>
      <c r="E155" s="17" t="s">
        <v>266</v>
      </c>
      <c r="F155" s="29"/>
      <c r="G155" s="37">
        <f>'Прилож №5'!H122</f>
        <v>7908.2</v>
      </c>
      <c r="H155" s="37">
        <f>'Прилож №5'!I122</f>
        <v>0</v>
      </c>
      <c r="I155" s="37">
        <f>'Прилож №5'!J122</f>
        <v>6620.3</v>
      </c>
      <c r="J155" s="37">
        <f>'Прилож №5'!K122</f>
        <v>0</v>
      </c>
      <c r="K155" s="297"/>
      <c r="L155" s="292"/>
    </row>
    <row r="156" spans="1:12" s="46" customFormat="1" ht="15.75">
      <c r="A156" s="24" t="s">
        <v>133</v>
      </c>
      <c r="B156" s="41" t="s">
        <v>196</v>
      </c>
      <c r="C156" s="17" t="s">
        <v>187</v>
      </c>
      <c r="D156" s="30" t="s">
        <v>306</v>
      </c>
      <c r="E156" s="17"/>
      <c r="F156" s="29"/>
      <c r="G156" s="37">
        <f>G157</f>
        <v>6232.1</v>
      </c>
      <c r="H156" s="37">
        <f>H157</f>
        <v>0</v>
      </c>
      <c r="I156" s="37">
        <f>I157</f>
        <v>6232.1</v>
      </c>
      <c r="J156" s="37">
        <f>J157</f>
        <v>0</v>
      </c>
      <c r="K156" s="297"/>
      <c r="L156" s="292"/>
    </row>
    <row r="157" spans="1:12" s="46" customFormat="1" ht="15.75">
      <c r="A157" s="26" t="s">
        <v>142</v>
      </c>
      <c r="B157" s="41" t="s">
        <v>196</v>
      </c>
      <c r="C157" s="17" t="s">
        <v>187</v>
      </c>
      <c r="D157" s="30" t="s">
        <v>306</v>
      </c>
      <c r="E157" s="17" t="s">
        <v>266</v>
      </c>
      <c r="F157" s="29"/>
      <c r="G157" s="37">
        <f>'Прилож №5'!H124+'Прилож №5'!H358</f>
        <v>6232.1</v>
      </c>
      <c r="H157" s="37">
        <f>'Прилож №5'!I124+'Прилож №5'!I358</f>
        <v>0</v>
      </c>
      <c r="I157" s="37">
        <f>'Прилож №5'!J124+'Прилож №5'!J358</f>
        <v>6232.1</v>
      </c>
      <c r="J157" s="37">
        <f>'Прилож №5'!K124+'Прилож №5'!K358</f>
        <v>0</v>
      </c>
      <c r="K157" s="297"/>
      <c r="L157" s="292"/>
    </row>
    <row r="158" spans="1:12" s="46" customFormat="1" ht="15.75">
      <c r="A158" s="24" t="s">
        <v>141</v>
      </c>
      <c r="B158" s="41" t="s">
        <v>196</v>
      </c>
      <c r="C158" s="17" t="s">
        <v>187</v>
      </c>
      <c r="D158" s="30" t="s">
        <v>307</v>
      </c>
      <c r="E158" s="17"/>
      <c r="F158" s="29"/>
      <c r="G158" s="37">
        <f>G159</f>
        <v>3501.1</v>
      </c>
      <c r="H158" s="37">
        <f>H159</f>
        <v>0</v>
      </c>
      <c r="I158" s="37">
        <f>I159</f>
        <v>3210</v>
      </c>
      <c r="J158" s="37">
        <f>J159</f>
        <v>0</v>
      </c>
      <c r="K158" s="297"/>
      <c r="L158" s="292"/>
    </row>
    <row r="159" spans="1:12" s="46" customFormat="1" ht="15.75">
      <c r="A159" s="26" t="s">
        <v>142</v>
      </c>
      <c r="B159" s="41" t="s">
        <v>196</v>
      </c>
      <c r="C159" s="17" t="s">
        <v>187</v>
      </c>
      <c r="D159" s="30" t="s">
        <v>307</v>
      </c>
      <c r="E159" s="17" t="s">
        <v>266</v>
      </c>
      <c r="F159" s="29" t="s">
        <v>131</v>
      </c>
      <c r="G159" s="37">
        <f>'Прилож №5'!H126</f>
        <v>3501.1</v>
      </c>
      <c r="H159" s="37">
        <f>'Прилож №5'!I126</f>
        <v>0</v>
      </c>
      <c r="I159" s="37">
        <f>'Прилож №5'!J126</f>
        <v>3210</v>
      </c>
      <c r="J159" s="37">
        <f>'Прилож №5'!K126</f>
        <v>0</v>
      </c>
      <c r="K159" s="297"/>
      <c r="L159" s="292"/>
    </row>
    <row r="160" spans="1:12" s="46" customFormat="1" ht="17.25" customHeight="1">
      <c r="A160" s="24" t="s">
        <v>308</v>
      </c>
      <c r="B160" s="42" t="s">
        <v>196</v>
      </c>
      <c r="C160" s="19" t="s">
        <v>187</v>
      </c>
      <c r="D160" s="30" t="s">
        <v>309</v>
      </c>
      <c r="E160" s="19"/>
      <c r="F160" s="30" t="s">
        <v>132</v>
      </c>
      <c r="G160" s="35">
        <f>G161</f>
        <v>28047.7</v>
      </c>
      <c r="H160" s="35">
        <f>H161</f>
        <v>0</v>
      </c>
      <c r="I160" s="35">
        <f>I161</f>
        <v>27390.5</v>
      </c>
      <c r="J160" s="35">
        <f>J161</f>
        <v>0</v>
      </c>
      <c r="K160" s="297"/>
      <c r="L160" s="292"/>
    </row>
    <row r="161" spans="1:12" s="46" customFormat="1" ht="17.25" customHeight="1">
      <c r="A161" s="26" t="s">
        <v>142</v>
      </c>
      <c r="B161" s="41" t="s">
        <v>196</v>
      </c>
      <c r="C161" s="17" t="s">
        <v>187</v>
      </c>
      <c r="D161" s="30" t="s">
        <v>309</v>
      </c>
      <c r="E161" s="17" t="s">
        <v>266</v>
      </c>
      <c r="F161" s="29"/>
      <c r="G161" s="37">
        <f>'Прилож №5'!H128+'Прилож №5'!H360</f>
        <v>28047.7</v>
      </c>
      <c r="H161" s="37">
        <f>'Прилож №5'!I128+'Прилож №5'!I360</f>
        <v>0</v>
      </c>
      <c r="I161" s="37">
        <f>'Прилож №5'!J128+'Прилож №5'!J360</f>
        <v>27390.5</v>
      </c>
      <c r="J161" s="37">
        <f>'Прилож №5'!K128+'Прилож №5'!K360</f>
        <v>0</v>
      </c>
      <c r="K161" s="297"/>
      <c r="L161" s="292"/>
    </row>
    <row r="162" spans="1:12" s="46" customFormat="1" ht="19.5" customHeight="1">
      <c r="A162" s="45" t="s">
        <v>127</v>
      </c>
      <c r="B162" s="41" t="s">
        <v>196</v>
      </c>
      <c r="C162" s="17" t="s">
        <v>187</v>
      </c>
      <c r="D162" s="29" t="s">
        <v>128</v>
      </c>
      <c r="E162" s="17"/>
      <c r="F162" s="29"/>
      <c r="G162" s="37">
        <f>G163</f>
        <v>3910.7999999999997</v>
      </c>
      <c r="H162" s="37">
        <f aca="true" t="shared" si="21" ref="H162:J163">H163</f>
        <v>0</v>
      </c>
      <c r="I162" s="37">
        <f t="shared" si="21"/>
        <v>3910.8</v>
      </c>
      <c r="J162" s="37">
        <f t="shared" si="21"/>
        <v>0</v>
      </c>
      <c r="K162" s="297"/>
      <c r="L162" s="292"/>
    </row>
    <row r="163" spans="1:12" s="46" customFormat="1" ht="44.25" customHeight="1">
      <c r="A163" s="45" t="s">
        <v>274</v>
      </c>
      <c r="B163" s="41" t="s">
        <v>196</v>
      </c>
      <c r="C163" s="17" t="s">
        <v>187</v>
      </c>
      <c r="D163" s="29" t="s">
        <v>275</v>
      </c>
      <c r="E163" s="17"/>
      <c r="F163" s="29"/>
      <c r="G163" s="37">
        <f>G164</f>
        <v>3910.7999999999997</v>
      </c>
      <c r="H163" s="37">
        <f t="shared" si="21"/>
        <v>0</v>
      </c>
      <c r="I163" s="37">
        <f t="shared" si="21"/>
        <v>3910.8</v>
      </c>
      <c r="J163" s="37">
        <f t="shared" si="21"/>
        <v>0</v>
      </c>
      <c r="K163" s="297"/>
      <c r="L163" s="292"/>
    </row>
    <row r="164" spans="1:12" s="46" customFormat="1" ht="17.25" customHeight="1" thickBot="1">
      <c r="A164" s="32" t="s">
        <v>142</v>
      </c>
      <c r="B164" s="42" t="s">
        <v>196</v>
      </c>
      <c r="C164" s="19" t="s">
        <v>187</v>
      </c>
      <c r="D164" s="30" t="s">
        <v>275</v>
      </c>
      <c r="E164" s="19" t="s">
        <v>266</v>
      </c>
      <c r="F164" s="30"/>
      <c r="G164" s="35">
        <f>'Прилож №5'!H131</f>
        <v>3910.7999999999997</v>
      </c>
      <c r="H164" s="35">
        <f>'Прилож №5'!I131</f>
        <v>0</v>
      </c>
      <c r="I164" s="35">
        <f>'Прилож №5'!J131</f>
        <v>3910.8</v>
      </c>
      <c r="J164" s="35">
        <f>'Прилож №5'!K131</f>
        <v>0</v>
      </c>
      <c r="K164" s="299"/>
      <c r="L164" s="300"/>
    </row>
    <row r="165" spans="1:12" s="46" customFormat="1" ht="16.5" thickBot="1">
      <c r="A165" s="210" t="s">
        <v>43</v>
      </c>
      <c r="B165" s="141" t="s">
        <v>201</v>
      </c>
      <c r="C165" s="18" t="s">
        <v>123</v>
      </c>
      <c r="D165" s="143"/>
      <c r="E165" s="18"/>
      <c r="F165" s="187"/>
      <c r="G165" s="244">
        <f>G166</f>
        <v>1076.8</v>
      </c>
      <c r="H165" s="38">
        <f>H166</f>
        <v>0</v>
      </c>
      <c r="I165" s="38">
        <f>I166</f>
        <v>1076.7</v>
      </c>
      <c r="J165" s="326">
        <f>J166</f>
        <v>0</v>
      </c>
      <c r="K165" s="244">
        <f>I165/G165*100</f>
        <v>99.9907132243685</v>
      </c>
      <c r="L165" s="285"/>
    </row>
    <row r="166" spans="1:12" s="46" customFormat="1" ht="15.75">
      <c r="A166" s="34" t="s">
        <v>446</v>
      </c>
      <c r="B166" s="13" t="s">
        <v>201</v>
      </c>
      <c r="C166" s="33" t="s">
        <v>187</v>
      </c>
      <c r="D166" s="43"/>
      <c r="E166" s="33"/>
      <c r="F166" s="9"/>
      <c r="G166" s="237">
        <f>G168+G172</f>
        <v>1076.8</v>
      </c>
      <c r="H166" s="100">
        <f>H168+H172</f>
        <v>0</v>
      </c>
      <c r="I166" s="100">
        <f>I168+I172</f>
        <v>1076.7</v>
      </c>
      <c r="J166" s="327">
        <f>J168+J172</f>
        <v>0</v>
      </c>
      <c r="K166" s="331"/>
      <c r="L166" s="296"/>
    </row>
    <row r="167" spans="1:12" s="46" customFormat="1" ht="15.75">
      <c r="A167" s="26" t="s">
        <v>324</v>
      </c>
      <c r="B167" s="41" t="s">
        <v>201</v>
      </c>
      <c r="C167" s="17" t="s">
        <v>187</v>
      </c>
      <c r="D167" s="41" t="s">
        <v>445</v>
      </c>
      <c r="E167" s="17"/>
      <c r="F167" s="29"/>
      <c r="G167" s="255">
        <f>G168</f>
        <v>5.8</v>
      </c>
      <c r="H167" s="246">
        <f>H168</f>
        <v>0</v>
      </c>
      <c r="I167" s="246">
        <f>I168</f>
        <v>5.8</v>
      </c>
      <c r="J167" s="255">
        <f>J168</f>
        <v>0</v>
      </c>
      <c r="K167" s="332"/>
      <c r="L167" s="297"/>
    </row>
    <row r="168" spans="1:12" s="46" customFormat="1" ht="15.75">
      <c r="A168" s="26" t="s">
        <v>142</v>
      </c>
      <c r="B168" s="41" t="s">
        <v>201</v>
      </c>
      <c r="C168" s="17" t="s">
        <v>187</v>
      </c>
      <c r="D168" s="41" t="s">
        <v>445</v>
      </c>
      <c r="E168" s="17" t="s">
        <v>266</v>
      </c>
      <c r="F168" s="29"/>
      <c r="G168" s="255">
        <f>'Прилож №5'!H135</f>
        <v>5.8</v>
      </c>
      <c r="H168" s="246">
        <f>'Прилож №5'!I135</f>
        <v>0</v>
      </c>
      <c r="I168" s="246">
        <f>'Прилож №5'!J135</f>
        <v>5.8</v>
      </c>
      <c r="J168" s="255">
        <f>'Прилож №5'!K135</f>
        <v>0</v>
      </c>
      <c r="K168" s="332"/>
      <c r="L168" s="297"/>
    </row>
    <row r="169" spans="1:12" s="46" customFormat="1" ht="15.75">
      <c r="A169" s="133" t="s">
        <v>44</v>
      </c>
      <c r="B169" s="93" t="s">
        <v>201</v>
      </c>
      <c r="C169" s="16" t="s">
        <v>196</v>
      </c>
      <c r="D169" s="31"/>
      <c r="E169" s="16"/>
      <c r="F169" s="117"/>
      <c r="G169" s="241">
        <f aca="true" t="shared" si="22" ref="G169:J171">G170</f>
        <v>1071</v>
      </c>
      <c r="H169" s="79">
        <f t="shared" si="22"/>
        <v>0</v>
      </c>
      <c r="I169" s="79">
        <f t="shared" si="22"/>
        <v>1070.9</v>
      </c>
      <c r="J169" s="328">
        <f t="shared" si="22"/>
        <v>0</v>
      </c>
      <c r="K169" s="332"/>
      <c r="L169" s="297"/>
    </row>
    <row r="170" spans="1:12" s="46" customFormat="1" ht="15.75">
      <c r="A170" s="212" t="s">
        <v>127</v>
      </c>
      <c r="B170" s="40" t="s">
        <v>201</v>
      </c>
      <c r="C170" s="21" t="s">
        <v>196</v>
      </c>
      <c r="D170" s="28" t="s">
        <v>128</v>
      </c>
      <c r="E170" s="21"/>
      <c r="F170" s="171"/>
      <c r="G170" s="239">
        <f t="shared" si="22"/>
        <v>1071</v>
      </c>
      <c r="H170" s="36">
        <f t="shared" si="22"/>
        <v>0</v>
      </c>
      <c r="I170" s="36">
        <f t="shared" si="22"/>
        <v>1070.9</v>
      </c>
      <c r="J170" s="261">
        <f t="shared" si="22"/>
        <v>0</v>
      </c>
      <c r="K170" s="332"/>
      <c r="L170" s="297"/>
    </row>
    <row r="171" spans="1:12" s="46" customFormat="1" ht="34.5" customHeight="1">
      <c r="A171" s="213" t="s">
        <v>344</v>
      </c>
      <c r="B171" s="40" t="s">
        <v>201</v>
      </c>
      <c r="C171" s="21" t="s">
        <v>196</v>
      </c>
      <c r="D171" s="28" t="s">
        <v>254</v>
      </c>
      <c r="E171" s="21"/>
      <c r="F171" s="171"/>
      <c r="G171" s="239">
        <f t="shared" si="22"/>
        <v>1071</v>
      </c>
      <c r="H171" s="36">
        <f t="shared" si="22"/>
        <v>0</v>
      </c>
      <c r="I171" s="36">
        <f t="shared" si="22"/>
        <v>1070.9</v>
      </c>
      <c r="J171" s="261">
        <f t="shared" si="22"/>
        <v>0</v>
      </c>
      <c r="K171" s="239"/>
      <c r="L171" s="297"/>
    </row>
    <row r="172" spans="1:12" s="46" customFormat="1" ht="16.5" thickBot="1">
      <c r="A172" s="215" t="s">
        <v>324</v>
      </c>
      <c r="B172" s="15" t="s">
        <v>201</v>
      </c>
      <c r="C172" s="14" t="s">
        <v>196</v>
      </c>
      <c r="D172" s="9" t="s">
        <v>254</v>
      </c>
      <c r="E172" s="14" t="s">
        <v>4</v>
      </c>
      <c r="F172" s="281"/>
      <c r="G172" s="242">
        <f>'Прилож №5'!H137</f>
        <v>1071</v>
      </c>
      <c r="H172" s="330">
        <f>'Прилож №5'!I137</f>
        <v>0</v>
      </c>
      <c r="I172" s="330">
        <f>'Прилож №5'!J137</f>
        <v>1070.9</v>
      </c>
      <c r="J172" s="329">
        <f>'Прилож №5'!K137</f>
        <v>0</v>
      </c>
      <c r="K172" s="333"/>
      <c r="L172" s="334"/>
    </row>
    <row r="173" spans="1:12" s="46" customFormat="1" ht="16.5" thickBot="1">
      <c r="A173" s="210" t="s">
        <v>6</v>
      </c>
      <c r="B173" s="141" t="s">
        <v>190</v>
      </c>
      <c r="C173" s="18" t="s">
        <v>123</v>
      </c>
      <c r="D173" s="143"/>
      <c r="E173" s="18"/>
      <c r="F173" s="187"/>
      <c r="G173" s="38">
        <f>G174+G182+G204+G216</f>
        <v>725984.9</v>
      </c>
      <c r="H173" s="38">
        <f>H174+H182+H204+H216</f>
        <v>259477.5</v>
      </c>
      <c r="I173" s="38">
        <f>I174+I182+I204+I216</f>
        <v>695082.3</v>
      </c>
      <c r="J173" s="38">
        <f>J174+J182+J204+J216</f>
        <v>258740.09999999998</v>
      </c>
      <c r="K173" s="38">
        <f>I173/G173*100</f>
        <v>95.74335499264517</v>
      </c>
      <c r="L173" s="38">
        <f>J173/H173*100</f>
        <v>99.7158135098419</v>
      </c>
    </row>
    <row r="174" spans="1:12" s="46" customFormat="1" ht="15.75">
      <c r="A174" s="133" t="s">
        <v>7</v>
      </c>
      <c r="B174" s="93" t="s">
        <v>190</v>
      </c>
      <c r="C174" s="16" t="s">
        <v>182</v>
      </c>
      <c r="D174" s="31"/>
      <c r="E174" s="16"/>
      <c r="F174" s="31"/>
      <c r="G174" s="79">
        <f>G175+G179</f>
        <v>268600.6</v>
      </c>
      <c r="H174" s="79">
        <f>H175+H179</f>
        <v>0</v>
      </c>
      <c r="I174" s="79">
        <f>I175+I179</f>
        <v>252507.8</v>
      </c>
      <c r="J174" s="79">
        <f>J175+J179</f>
        <v>0</v>
      </c>
      <c r="K174" s="296"/>
      <c r="L174" s="291"/>
    </row>
    <row r="175" spans="1:12" s="46" customFormat="1" ht="30">
      <c r="A175" s="207" t="s">
        <v>202</v>
      </c>
      <c r="B175" s="15" t="s">
        <v>190</v>
      </c>
      <c r="C175" s="21" t="s">
        <v>182</v>
      </c>
      <c r="D175" s="28" t="s">
        <v>69</v>
      </c>
      <c r="E175" s="21"/>
      <c r="F175" s="28"/>
      <c r="G175" s="36">
        <f aca="true" t="shared" si="23" ref="G175:J177">G176</f>
        <v>1319.3</v>
      </c>
      <c r="H175" s="36">
        <f t="shared" si="23"/>
        <v>0</v>
      </c>
      <c r="I175" s="36">
        <f t="shared" si="23"/>
        <v>819.3</v>
      </c>
      <c r="J175" s="36">
        <f t="shared" si="23"/>
        <v>0</v>
      </c>
      <c r="K175" s="297"/>
      <c r="L175" s="292"/>
    </row>
    <row r="176" spans="1:12" s="46" customFormat="1" ht="60">
      <c r="A176" s="207" t="s">
        <v>203</v>
      </c>
      <c r="B176" s="15" t="s">
        <v>190</v>
      </c>
      <c r="C176" s="21" t="s">
        <v>182</v>
      </c>
      <c r="D176" s="28" t="s">
        <v>204</v>
      </c>
      <c r="E176" s="21"/>
      <c r="F176" s="28"/>
      <c r="G176" s="36">
        <f t="shared" si="23"/>
        <v>1319.3</v>
      </c>
      <c r="H176" s="36">
        <f t="shared" si="23"/>
        <v>0</v>
      </c>
      <c r="I176" s="36">
        <f t="shared" si="23"/>
        <v>819.3</v>
      </c>
      <c r="J176" s="36">
        <f t="shared" si="23"/>
        <v>0</v>
      </c>
      <c r="K176" s="297"/>
      <c r="L176" s="292"/>
    </row>
    <row r="177" spans="1:12" s="46" customFormat="1" ht="30">
      <c r="A177" s="207" t="s">
        <v>236</v>
      </c>
      <c r="B177" s="41" t="s">
        <v>190</v>
      </c>
      <c r="C177" s="21" t="s">
        <v>182</v>
      </c>
      <c r="D177" s="28" t="s">
        <v>237</v>
      </c>
      <c r="E177" s="21"/>
      <c r="F177" s="28"/>
      <c r="G177" s="36">
        <f t="shared" si="23"/>
        <v>1319.3</v>
      </c>
      <c r="H177" s="36">
        <f t="shared" si="23"/>
        <v>0</v>
      </c>
      <c r="I177" s="36">
        <f t="shared" si="23"/>
        <v>819.3</v>
      </c>
      <c r="J177" s="36">
        <f t="shared" si="23"/>
        <v>0</v>
      </c>
      <c r="K177" s="297"/>
      <c r="L177" s="292"/>
    </row>
    <row r="178" spans="1:12" s="46" customFormat="1" ht="15.75">
      <c r="A178" s="207" t="s">
        <v>205</v>
      </c>
      <c r="B178" s="15" t="s">
        <v>190</v>
      </c>
      <c r="C178" s="21" t="s">
        <v>182</v>
      </c>
      <c r="D178" s="28" t="s">
        <v>237</v>
      </c>
      <c r="E178" s="21" t="s">
        <v>66</v>
      </c>
      <c r="F178" s="28"/>
      <c r="G178" s="36">
        <f>'Прилож №5'!H145+'Прилож №5'!H149</f>
        <v>1319.3</v>
      </c>
      <c r="H178" s="36">
        <f>'Прилож №5'!I145+'Прилож №5'!I149</f>
        <v>0</v>
      </c>
      <c r="I178" s="36">
        <f>'Прилож №5'!J145+'Прилож №5'!J149</f>
        <v>819.3</v>
      </c>
      <c r="J178" s="36">
        <f>'Прилож №5'!K145+'Прилож №5'!K149</f>
        <v>0</v>
      </c>
      <c r="K178" s="297"/>
      <c r="L178" s="292"/>
    </row>
    <row r="179" spans="1:12" s="46" customFormat="1" ht="15.75">
      <c r="A179" s="212" t="s">
        <v>8</v>
      </c>
      <c r="B179" s="42" t="s">
        <v>190</v>
      </c>
      <c r="C179" s="17" t="s">
        <v>182</v>
      </c>
      <c r="D179" s="29" t="s">
        <v>26</v>
      </c>
      <c r="E179" s="17"/>
      <c r="F179" s="29"/>
      <c r="G179" s="37">
        <f>G180</f>
        <v>267281.3</v>
      </c>
      <c r="H179" s="37">
        <f aca="true" t="shared" si="24" ref="H179:J180">H180</f>
        <v>0</v>
      </c>
      <c r="I179" s="37">
        <f t="shared" si="24"/>
        <v>251688.5</v>
      </c>
      <c r="J179" s="37">
        <f t="shared" si="24"/>
        <v>0</v>
      </c>
      <c r="K179" s="297"/>
      <c r="L179" s="292"/>
    </row>
    <row r="180" spans="1:12" s="46" customFormat="1" ht="15.75">
      <c r="A180" s="214" t="s">
        <v>27</v>
      </c>
      <c r="B180" s="42" t="s">
        <v>190</v>
      </c>
      <c r="C180" s="19" t="s">
        <v>182</v>
      </c>
      <c r="D180" s="30" t="s">
        <v>206</v>
      </c>
      <c r="E180" s="19"/>
      <c r="F180" s="30"/>
      <c r="G180" s="37">
        <f>G181</f>
        <v>267281.3</v>
      </c>
      <c r="H180" s="37">
        <f t="shared" si="24"/>
        <v>0</v>
      </c>
      <c r="I180" s="37">
        <f t="shared" si="24"/>
        <v>251688.5</v>
      </c>
      <c r="J180" s="37">
        <f t="shared" si="24"/>
        <v>0</v>
      </c>
      <c r="K180" s="297"/>
      <c r="L180" s="292"/>
    </row>
    <row r="181" spans="1:12" s="46" customFormat="1" ht="15.75">
      <c r="A181" s="214" t="s">
        <v>168</v>
      </c>
      <c r="B181" s="42" t="s">
        <v>190</v>
      </c>
      <c r="C181" s="19" t="s">
        <v>182</v>
      </c>
      <c r="D181" s="30" t="s">
        <v>206</v>
      </c>
      <c r="E181" s="19" t="s">
        <v>84</v>
      </c>
      <c r="F181" s="30"/>
      <c r="G181" s="37">
        <f>'Прилож №5'!H226+'Прилож №5'!H152</f>
        <v>267281.3</v>
      </c>
      <c r="H181" s="37">
        <f>'Прилож №5'!I226+'Прилож №5'!I152</f>
        <v>0</v>
      </c>
      <c r="I181" s="37">
        <f>'Прилож №5'!J226+'Прилож №5'!J152</f>
        <v>251688.5</v>
      </c>
      <c r="J181" s="37">
        <f>'Прилож №5'!K226+'Прилож №5'!K152</f>
        <v>0</v>
      </c>
      <c r="K181" s="37"/>
      <c r="L181" s="292"/>
    </row>
    <row r="182" spans="1:12" s="46" customFormat="1" ht="15.75">
      <c r="A182" s="209" t="s">
        <v>9</v>
      </c>
      <c r="B182" s="96" t="s">
        <v>190</v>
      </c>
      <c r="C182" s="92" t="s">
        <v>183</v>
      </c>
      <c r="D182" s="103"/>
      <c r="E182" s="91"/>
      <c r="F182" s="105"/>
      <c r="G182" s="75">
        <f>G187+G190+G195+G183+G193</f>
        <v>411149.9</v>
      </c>
      <c r="H182" s="75">
        <f>H187+H190+H195+H183+H193</f>
        <v>250933.2</v>
      </c>
      <c r="I182" s="75">
        <f>I187+I190+I195+I183+I193</f>
        <v>397386.7</v>
      </c>
      <c r="J182" s="75">
        <f>J187+J190+J195+J183+J193</f>
        <v>250213.09999999998</v>
      </c>
      <c r="K182" s="297"/>
      <c r="L182" s="292"/>
    </row>
    <row r="183" spans="1:12" s="46" customFormat="1" ht="26.25">
      <c r="A183" s="44" t="s">
        <v>202</v>
      </c>
      <c r="B183" s="42" t="s">
        <v>190</v>
      </c>
      <c r="C183" s="19" t="s">
        <v>183</v>
      </c>
      <c r="D183" s="30" t="s">
        <v>69</v>
      </c>
      <c r="E183" s="17"/>
      <c r="F183" s="30"/>
      <c r="G183" s="35">
        <f>G184</f>
        <v>329.6</v>
      </c>
      <c r="H183" s="35">
        <f aca="true" t="shared" si="25" ref="H183:J185">H184</f>
        <v>0</v>
      </c>
      <c r="I183" s="35">
        <f t="shared" si="25"/>
        <v>329.6</v>
      </c>
      <c r="J183" s="35">
        <f t="shared" si="25"/>
        <v>0</v>
      </c>
      <c r="K183" s="297"/>
      <c r="L183" s="292"/>
    </row>
    <row r="184" spans="1:12" s="46" customFormat="1" ht="39">
      <c r="A184" s="44" t="s">
        <v>203</v>
      </c>
      <c r="B184" s="42" t="s">
        <v>190</v>
      </c>
      <c r="C184" s="19" t="s">
        <v>183</v>
      </c>
      <c r="D184" s="30" t="s">
        <v>204</v>
      </c>
      <c r="E184" s="17"/>
      <c r="F184" s="30"/>
      <c r="G184" s="35">
        <f>G185</f>
        <v>329.6</v>
      </c>
      <c r="H184" s="35">
        <f t="shared" si="25"/>
        <v>0</v>
      </c>
      <c r="I184" s="35">
        <f t="shared" si="25"/>
        <v>329.6</v>
      </c>
      <c r="J184" s="35">
        <f t="shared" si="25"/>
        <v>0</v>
      </c>
      <c r="K184" s="297"/>
      <c r="L184" s="292"/>
    </row>
    <row r="185" spans="1:12" s="46" customFormat="1" ht="26.25">
      <c r="A185" s="44" t="s">
        <v>236</v>
      </c>
      <c r="B185" s="42" t="s">
        <v>190</v>
      </c>
      <c r="C185" s="19" t="s">
        <v>183</v>
      </c>
      <c r="D185" s="30" t="s">
        <v>237</v>
      </c>
      <c r="E185" s="17"/>
      <c r="F185" s="30"/>
      <c r="G185" s="35">
        <f>G186</f>
        <v>329.6</v>
      </c>
      <c r="H185" s="35">
        <f t="shared" si="25"/>
        <v>0</v>
      </c>
      <c r="I185" s="35">
        <f t="shared" si="25"/>
        <v>329.6</v>
      </c>
      <c r="J185" s="35">
        <f t="shared" si="25"/>
        <v>0</v>
      </c>
      <c r="K185" s="297"/>
      <c r="L185" s="292"/>
    </row>
    <row r="186" spans="1:12" s="46" customFormat="1" ht="15.75">
      <c r="A186" s="25" t="s">
        <v>205</v>
      </c>
      <c r="B186" s="42" t="s">
        <v>190</v>
      </c>
      <c r="C186" s="19" t="s">
        <v>183</v>
      </c>
      <c r="D186" s="30" t="s">
        <v>237</v>
      </c>
      <c r="E186" s="17" t="s">
        <v>66</v>
      </c>
      <c r="F186" s="30"/>
      <c r="G186" s="35">
        <f>'Прилож №5'!H157</f>
        <v>329.6</v>
      </c>
      <c r="H186" s="35">
        <f>'Прилож №5'!I157</f>
        <v>0</v>
      </c>
      <c r="I186" s="35">
        <f>'Прилож №5'!J157</f>
        <v>329.6</v>
      </c>
      <c r="J186" s="35">
        <f>'Прилож №5'!K157</f>
        <v>0</v>
      </c>
      <c r="K186" s="297"/>
      <c r="L186" s="292"/>
    </row>
    <row r="187" spans="1:12" s="46" customFormat="1" ht="15" customHeight="1">
      <c r="A187" s="44" t="s">
        <v>108</v>
      </c>
      <c r="B187" s="41" t="s">
        <v>190</v>
      </c>
      <c r="C187" s="19" t="s">
        <v>183</v>
      </c>
      <c r="D187" s="30" t="s">
        <v>28</v>
      </c>
      <c r="E187" s="17"/>
      <c r="F187" s="30"/>
      <c r="G187" s="35">
        <f>G188</f>
        <v>326576.7</v>
      </c>
      <c r="H187" s="35">
        <f aca="true" t="shared" si="26" ref="H187:J188">H188</f>
        <v>239299.2</v>
      </c>
      <c r="I187" s="35">
        <f t="shared" si="26"/>
        <v>315939.2</v>
      </c>
      <c r="J187" s="35">
        <f t="shared" si="26"/>
        <v>239186.8</v>
      </c>
      <c r="K187" s="297"/>
      <c r="L187" s="292"/>
    </row>
    <row r="188" spans="1:12" s="46" customFormat="1" ht="15.75">
      <c r="A188" s="25" t="s">
        <v>27</v>
      </c>
      <c r="B188" s="41" t="s">
        <v>190</v>
      </c>
      <c r="C188" s="17" t="s">
        <v>183</v>
      </c>
      <c r="D188" s="29" t="s">
        <v>207</v>
      </c>
      <c r="E188" s="17"/>
      <c r="F188" s="29"/>
      <c r="G188" s="37">
        <f>G189</f>
        <v>326576.7</v>
      </c>
      <c r="H188" s="37">
        <f t="shared" si="26"/>
        <v>239299.2</v>
      </c>
      <c r="I188" s="37">
        <f t="shared" si="26"/>
        <v>315939.2</v>
      </c>
      <c r="J188" s="37">
        <f t="shared" si="26"/>
        <v>239186.8</v>
      </c>
      <c r="K188" s="297"/>
      <c r="L188" s="292"/>
    </row>
    <row r="189" spans="1:12" s="46" customFormat="1" ht="15.75">
      <c r="A189" s="25" t="s">
        <v>168</v>
      </c>
      <c r="B189" s="41" t="s">
        <v>190</v>
      </c>
      <c r="C189" s="17" t="s">
        <v>183</v>
      </c>
      <c r="D189" s="29" t="s">
        <v>207</v>
      </c>
      <c r="E189" s="17" t="s">
        <v>84</v>
      </c>
      <c r="F189" s="29"/>
      <c r="G189" s="37">
        <f>'Прилож №5'!H230+'Прилож №5'!H159</f>
        <v>326576.7</v>
      </c>
      <c r="H189" s="37">
        <f>'Прилож №5'!I230+'Прилож №5'!I159</f>
        <v>239299.2</v>
      </c>
      <c r="I189" s="37">
        <f>'Прилож №5'!J230+'Прилож №5'!J159</f>
        <v>315939.2</v>
      </c>
      <c r="J189" s="37">
        <f>'Прилож №5'!K230+'Прилож №5'!K159</f>
        <v>239186.8</v>
      </c>
      <c r="K189" s="297"/>
      <c r="L189" s="292"/>
    </row>
    <row r="190" spans="1:12" s="46" customFormat="1" ht="15.75">
      <c r="A190" s="24" t="s">
        <v>31</v>
      </c>
      <c r="B190" s="41" t="s">
        <v>190</v>
      </c>
      <c r="C190" s="17" t="s">
        <v>183</v>
      </c>
      <c r="D190" s="29" t="s">
        <v>32</v>
      </c>
      <c r="E190" s="17"/>
      <c r="F190" s="29"/>
      <c r="G190" s="37">
        <f>G191</f>
        <v>72562.20000000001</v>
      </c>
      <c r="H190" s="37">
        <f aca="true" t="shared" si="27" ref="H190:J191">H191</f>
        <v>0</v>
      </c>
      <c r="I190" s="37">
        <f t="shared" si="27"/>
        <v>70044.2</v>
      </c>
      <c r="J190" s="37">
        <f t="shared" si="27"/>
        <v>0</v>
      </c>
      <c r="K190" s="297"/>
      <c r="L190" s="292"/>
    </row>
    <row r="191" spans="1:12" s="46" customFormat="1" ht="15.75">
      <c r="A191" s="24" t="s">
        <v>27</v>
      </c>
      <c r="B191" s="41" t="s">
        <v>190</v>
      </c>
      <c r="C191" s="17" t="s">
        <v>183</v>
      </c>
      <c r="D191" s="29" t="s">
        <v>208</v>
      </c>
      <c r="E191" s="17"/>
      <c r="F191" s="29"/>
      <c r="G191" s="37">
        <f>G192</f>
        <v>72562.20000000001</v>
      </c>
      <c r="H191" s="37">
        <f t="shared" si="27"/>
        <v>0</v>
      </c>
      <c r="I191" s="37">
        <f t="shared" si="27"/>
        <v>70044.2</v>
      </c>
      <c r="J191" s="37">
        <f t="shared" si="27"/>
        <v>0</v>
      </c>
      <c r="K191" s="297"/>
      <c r="L191" s="292"/>
    </row>
    <row r="192" spans="1:12" s="46" customFormat="1" ht="15.75">
      <c r="A192" s="25" t="s">
        <v>168</v>
      </c>
      <c r="B192" s="41" t="s">
        <v>190</v>
      </c>
      <c r="C192" s="17" t="s">
        <v>183</v>
      </c>
      <c r="D192" s="29" t="s">
        <v>208</v>
      </c>
      <c r="E192" s="17" t="s">
        <v>84</v>
      </c>
      <c r="F192" s="29"/>
      <c r="G192" s="37">
        <f>'Прилож №5'!H233+'Прилож №5'!H281+'Прилож №5'!H373+'Прилож №5'!H162</f>
        <v>72562.20000000001</v>
      </c>
      <c r="H192" s="37">
        <f>'Прилож №5'!I233+'Прилож №5'!I281+'Прилож №5'!I373+'Прилож №5'!I162</f>
        <v>0</v>
      </c>
      <c r="I192" s="37">
        <f>'Прилож №5'!J233+'Прилож №5'!J281+'Прилож №5'!J373+'Прилож №5'!J162</f>
        <v>70044.2</v>
      </c>
      <c r="J192" s="37">
        <f>'Прилож №5'!K233+'Прилож №5'!K281+'Прилож №5'!K373+'Прилож №5'!K162</f>
        <v>0</v>
      </c>
      <c r="K192" s="297"/>
      <c r="L192" s="292"/>
    </row>
    <row r="193" spans="1:12" s="46" customFormat="1" ht="15.75">
      <c r="A193" s="81" t="s">
        <v>378</v>
      </c>
      <c r="B193" s="17" t="s">
        <v>190</v>
      </c>
      <c r="C193" s="29" t="s">
        <v>183</v>
      </c>
      <c r="D193" s="17" t="s">
        <v>379</v>
      </c>
      <c r="E193" s="29"/>
      <c r="F193" s="76"/>
      <c r="G193" s="37">
        <f>G194</f>
        <v>327</v>
      </c>
      <c r="H193" s="37">
        <f>H194</f>
        <v>327</v>
      </c>
      <c r="I193" s="37">
        <f>I194</f>
        <v>252.4</v>
      </c>
      <c r="J193" s="37">
        <f>J194</f>
        <v>252.4</v>
      </c>
      <c r="K193" s="297"/>
      <c r="L193" s="292"/>
    </row>
    <row r="194" spans="1:12" s="46" customFormat="1" ht="15.75">
      <c r="A194" s="81" t="s">
        <v>168</v>
      </c>
      <c r="B194" s="21" t="s">
        <v>190</v>
      </c>
      <c r="C194" s="28" t="s">
        <v>183</v>
      </c>
      <c r="D194" s="14" t="s">
        <v>379</v>
      </c>
      <c r="E194" s="9" t="s">
        <v>84</v>
      </c>
      <c r="F194" s="85" t="s">
        <v>84</v>
      </c>
      <c r="G194" s="36">
        <f>'Прилож №5'!H235</f>
        <v>327</v>
      </c>
      <c r="H194" s="36">
        <f>'Прилож №5'!I235</f>
        <v>327</v>
      </c>
      <c r="I194" s="36">
        <f>'Прилож №5'!J235</f>
        <v>252.4</v>
      </c>
      <c r="J194" s="36">
        <f>'Прилож №5'!K235</f>
        <v>252.4</v>
      </c>
      <c r="K194" s="297"/>
      <c r="L194" s="292"/>
    </row>
    <row r="195" spans="1:12" s="46" customFormat="1" ht="15.75">
      <c r="A195" s="25" t="s">
        <v>122</v>
      </c>
      <c r="B195" s="41" t="s">
        <v>190</v>
      </c>
      <c r="C195" s="17" t="s">
        <v>183</v>
      </c>
      <c r="D195" s="29" t="s">
        <v>93</v>
      </c>
      <c r="E195" s="17"/>
      <c r="F195" s="29"/>
      <c r="G195" s="37">
        <f>G196+G198</f>
        <v>11354.4</v>
      </c>
      <c r="H195" s="37">
        <f>H196+H198</f>
        <v>11307</v>
      </c>
      <c r="I195" s="37">
        <f>I196+I198</f>
        <v>10821.3</v>
      </c>
      <c r="J195" s="37">
        <f>J196+J198</f>
        <v>10773.9</v>
      </c>
      <c r="K195" s="297"/>
      <c r="L195" s="292"/>
    </row>
    <row r="196" spans="1:12" s="46" customFormat="1" ht="15.75">
      <c r="A196" s="25" t="s">
        <v>95</v>
      </c>
      <c r="B196" s="41" t="s">
        <v>190</v>
      </c>
      <c r="C196" s="17" t="s">
        <v>183</v>
      </c>
      <c r="D196" s="29" t="s">
        <v>209</v>
      </c>
      <c r="E196" s="17"/>
      <c r="F196" s="29"/>
      <c r="G196" s="37">
        <f>G197</f>
        <v>4172</v>
      </c>
      <c r="H196" s="37">
        <f>H197</f>
        <v>4172</v>
      </c>
      <c r="I196" s="37">
        <f>I197</f>
        <v>3803.9</v>
      </c>
      <c r="J196" s="37">
        <f>J197</f>
        <v>3803.9</v>
      </c>
      <c r="K196" s="297"/>
      <c r="L196" s="292"/>
    </row>
    <row r="197" spans="1:12" s="46" customFormat="1" ht="15.75">
      <c r="A197" s="25" t="s">
        <v>168</v>
      </c>
      <c r="B197" s="41" t="s">
        <v>190</v>
      </c>
      <c r="C197" s="17" t="s">
        <v>183</v>
      </c>
      <c r="D197" s="29" t="s">
        <v>209</v>
      </c>
      <c r="E197" s="17" t="s">
        <v>84</v>
      </c>
      <c r="F197" s="29"/>
      <c r="G197" s="37">
        <f>'Прилож №5'!H238</f>
        <v>4172</v>
      </c>
      <c r="H197" s="37">
        <f>'Прилож №5'!I238</f>
        <v>4172</v>
      </c>
      <c r="I197" s="37">
        <f>'Прилож №5'!J238</f>
        <v>3803.9</v>
      </c>
      <c r="J197" s="37">
        <f>'Прилож №5'!K238</f>
        <v>3803.9</v>
      </c>
      <c r="K197" s="297"/>
      <c r="L197" s="292"/>
    </row>
    <row r="198" spans="1:12" s="46" customFormat="1" ht="26.25">
      <c r="A198" s="44" t="s">
        <v>412</v>
      </c>
      <c r="B198" s="41" t="s">
        <v>190</v>
      </c>
      <c r="C198" s="17" t="s">
        <v>183</v>
      </c>
      <c r="D198" s="29" t="s">
        <v>380</v>
      </c>
      <c r="E198" s="17"/>
      <c r="F198" s="29"/>
      <c r="G198" s="37">
        <f>G203+G200+G199</f>
        <v>7182.4</v>
      </c>
      <c r="H198" s="37">
        <f>H203+H200+H199</f>
        <v>7135</v>
      </c>
      <c r="I198" s="37">
        <f>I203+I200+I199</f>
        <v>7017.4</v>
      </c>
      <c r="J198" s="37">
        <f>J203+J200+J199</f>
        <v>6970</v>
      </c>
      <c r="K198" s="297"/>
      <c r="L198" s="292"/>
    </row>
    <row r="199" spans="1:12" s="46" customFormat="1" ht="26.25">
      <c r="A199" s="131" t="s">
        <v>412</v>
      </c>
      <c r="B199" s="17" t="s">
        <v>190</v>
      </c>
      <c r="C199" s="30" t="s">
        <v>183</v>
      </c>
      <c r="D199" s="19" t="s">
        <v>380</v>
      </c>
      <c r="E199" s="17" t="s">
        <v>84</v>
      </c>
      <c r="F199" s="29"/>
      <c r="G199" s="37">
        <f>'Прилож №5'!H240</f>
        <v>47.4</v>
      </c>
      <c r="H199" s="37">
        <f>'Прилож №5'!I240</f>
        <v>0</v>
      </c>
      <c r="I199" s="37">
        <f>'Прилож №5'!J240</f>
        <v>47.4</v>
      </c>
      <c r="J199" s="37">
        <f>'Прилож №5'!K240</f>
        <v>0</v>
      </c>
      <c r="K199" s="297"/>
      <c r="L199" s="292"/>
    </row>
    <row r="200" spans="1:12" s="46" customFormat="1" ht="26.25">
      <c r="A200" s="44" t="s">
        <v>414</v>
      </c>
      <c r="B200" s="41" t="s">
        <v>190</v>
      </c>
      <c r="C200" s="17" t="s">
        <v>183</v>
      </c>
      <c r="D200" s="29" t="s">
        <v>411</v>
      </c>
      <c r="E200" s="17"/>
      <c r="F200" s="29"/>
      <c r="G200" s="37">
        <f>G201</f>
        <v>4170</v>
      </c>
      <c r="H200" s="37">
        <f>H201</f>
        <v>4170</v>
      </c>
      <c r="I200" s="37">
        <f>I201</f>
        <v>4170</v>
      </c>
      <c r="J200" s="37">
        <f>J201</f>
        <v>4170</v>
      </c>
      <c r="K200" s="297"/>
      <c r="L200" s="292"/>
    </row>
    <row r="201" spans="1:12" s="46" customFormat="1" ht="15.75">
      <c r="A201" s="25" t="s">
        <v>168</v>
      </c>
      <c r="B201" s="41" t="s">
        <v>190</v>
      </c>
      <c r="C201" s="17" t="s">
        <v>183</v>
      </c>
      <c r="D201" s="29" t="s">
        <v>411</v>
      </c>
      <c r="E201" s="17" t="s">
        <v>84</v>
      </c>
      <c r="F201" s="29"/>
      <c r="G201" s="37">
        <f>'Прилож №5'!H242</f>
        <v>4170</v>
      </c>
      <c r="H201" s="37">
        <f>'Прилож №5'!I242</f>
        <v>4170</v>
      </c>
      <c r="I201" s="37">
        <f>'Прилож №5'!J242</f>
        <v>4170</v>
      </c>
      <c r="J201" s="37">
        <f>'Прилож №5'!K242</f>
        <v>4170</v>
      </c>
      <c r="K201" s="297"/>
      <c r="L201" s="292"/>
    </row>
    <row r="202" spans="1:12" s="46" customFormat="1" ht="26.25">
      <c r="A202" s="44" t="s">
        <v>418</v>
      </c>
      <c r="B202" s="41" t="s">
        <v>190</v>
      </c>
      <c r="C202" s="17" t="s">
        <v>183</v>
      </c>
      <c r="D202" s="29" t="s">
        <v>417</v>
      </c>
      <c r="E202" s="17"/>
      <c r="F202" s="29"/>
      <c r="G202" s="37">
        <f>G203</f>
        <v>2965</v>
      </c>
      <c r="H202" s="37">
        <f>H203</f>
        <v>2965</v>
      </c>
      <c r="I202" s="37">
        <f>I203</f>
        <v>2800</v>
      </c>
      <c r="J202" s="37">
        <f>J203</f>
        <v>2800</v>
      </c>
      <c r="K202" s="297"/>
      <c r="L202" s="292"/>
    </row>
    <row r="203" spans="1:12" s="46" customFormat="1" ht="15.75">
      <c r="A203" s="25" t="s">
        <v>168</v>
      </c>
      <c r="B203" s="41" t="s">
        <v>190</v>
      </c>
      <c r="C203" s="17" t="s">
        <v>183</v>
      </c>
      <c r="D203" s="29" t="s">
        <v>417</v>
      </c>
      <c r="E203" s="17" t="s">
        <v>84</v>
      </c>
      <c r="F203" s="29"/>
      <c r="G203" s="37">
        <f>'Прилож №5'!H244</f>
        <v>2965</v>
      </c>
      <c r="H203" s="37">
        <f>'Прилож №5'!I244</f>
        <v>2965</v>
      </c>
      <c r="I203" s="37">
        <f>'Прилож №5'!J244</f>
        <v>2800</v>
      </c>
      <c r="J203" s="37">
        <f>'Прилож №5'!K244</f>
        <v>2800</v>
      </c>
      <c r="K203" s="297"/>
      <c r="L203" s="292"/>
    </row>
    <row r="204" spans="1:12" s="46" customFormat="1" ht="15.75">
      <c r="A204" s="24" t="s">
        <v>29</v>
      </c>
      <c r="B204" s="41" t="s">
        <v>190</v>
      </c>
      <c r="C204" s="17" t="s">
        <v>190</v>
      </c>
      <c r="D204" s="29"/>
      <c r="E204" s="17"/>
      <c r="F204" s="29"/>
      <c r="G204" s="37">
        <f>G210+G205+G213</f>
        <v>7044.5999999999985</v>
      </c>
      <c r="H204" s="37">
        <f>H210+H205+H213</f>
        <v>0</v>
      </c>
      <c r="I204" s="37">
        <f>I210+I205+I213</f>
        <v>6544.4</v>
      </c>
      <c r="J204" s="37">
        <f>J210+J205+J213</f>
        <v>0</v>
      </c>
      <c r="K204" s="297"/>
      <c r="L204" s="292"/>
    </row>
    <row r="205" spans="1:12" s="46" customFormat="1" ht="15.75">
      <c r="A205" s="24" t="s">
        <v>90</v>
      </c>
      <c r="B205" s="41" t="s">
        <v>190</v>
      </c>
      <c r="C205" s="17" t="s">
        <v>190</v>
      </c>
      <c r="D205" s="29" t="s">
        <v>91</v>
      </c>
      <c r="E205" s="17"/>
      <c r="F205" s="29"/>
      <c r="G205" s="37">
        <f>G206+G208</f>
        <v>3460.3999999999996</v>
      </c>
      <c r="H205" s="37">
        <f>H206+H208</f>
        <v>0</v>
      </c>
      <c r="I205" s="37">
        <f>I206+I208</f>
        <v>3044.2999999999997</v>
      </c>
      <c r="J205" s="37">
        <f>J206+J208</f>
        <v>0</v>
      </c>
      <c r="K205" s="297"/>
      <c r="L205" s="292"/>
    </row>
    <row r="206" spans="1:12" s="46" customFormat="1" ht="15.75">
      <c r="A206" s="24" t="s">
        <v>92</v>
      </c>
      <c r="B206" s="41" t="s">
        <v>190</v>
      </c>
      <c r="C206" s="17" t="s">
        <v>190</v>
      </c>
      <c r="D206" s="29" t="s">
        <v>210</v>
      </c>
      <c r="E206" s="17"/>
      <c r="F206" s="29"/>
      <c r="G206" s="37">
        <f>G207</f>
        <v>147.7</v>
      </c>
      <c r="H206" s="37">
        <f>H207</f>
        <v>0</v>
      </c>
      <c r="I206" s="37">
        <f>I207</f>
        <v>86.1</v>
      </c>
      <c r="J206" s="37">
        <f>J207</f>
        <v>0</v>
      </c>
      <c r="K206" s="297"/>
      <c r="L206" s="292"/>
    </row>
    <row r="207" spans="1:12" s="46" customFormat="1" ht="15.75">
      <c r="A207" s="25" t="s">
        <v>168</v>
      </c>
      <c r="B207" s="41" t="s">
        <v>190</v>
      </c>
      <c r="C207" s="17" t="s">
        <v>190</v>
      </c>
      <c r="D207" s="29" t="s">
        <v>210</v>
      </c>
      <c r="E207" s="17" t="s">
        <v>84</v>
      </c>
      <c r="F207" s="29" t="s">
        <v>15</v>
      </c>
      <c r="G207" s="37">
        <f>'Прилож №5'!H377</f>
        <v>147.7</v>
      </c>
      <c r="H207" s="37">
        <f>'Прилож №5'!I377</f>
        <v>0</v>
      </c>
      <c r="I207" s="37">
        <f>'Прилож №5'!J377</f>
        <v>86.1</v>
      </c>
      <c r="J207" s="37">
        <f>'Прилож №5'!K377</f>
        <v>0</v>
      </c>
      <c r="K207" s="297"/>
      <c r="L207" s="292"/>
    </row>
    <row r="208" spans="1:12" s="46" customFormat="1" ht="15.75">
      <c r="A208" s="25" t="s">
        <v>27</v>
      </c>
      <c r="B208" s="41" t="s">
        <v>190</v>
      </c>
      <c r="C208" s="17" t="s">
        <v>190</v>
      </c>
      <c r="D208" s="29" t="s">
        <v>436</v>
      </c>
      <c r="E208" s="17"/>
      <c r="F208" s="29"/>
      <c r="G208" s="37">
        <f>G209</f>
        <v>3312.7</v>
      </c>
      <c r="H208" s="37">
        <f>H209</f>
        <v>0</v>
      </c>
      <c r="I208" s="37">
        <f>I209</f>
        <v>2958.2</v>
      </c>
      <c r="J208" s="37">
        <f>J209</f>
        <v>0</v>
      </c>
      <c r="K208" s="297"/>
      <c r="L208" s="292"/>
    </row>
    <row r="209" spans="1:12" s="46" customFormat="1" ht="15.75">
      <c r="A209" s="8" t="s">
        <v>168</v>
      </c>
      <c r="B209" s="41" t="s">
        <v>190</v>
      </c>
      <c r="C209" s="17" t="s">
        <v>190</v>
      </c>
      <c r="D209" s="29" t="s">
        <v>436</v>
      </c>
      <c r="E209" s="17" t="s">
        <v>84</v>
      </c>
      <c r="F209" s="29"/>
      <c r="G209" s="37">
        <f>'Прилож №5'!H379</f>
        <v>3312.7</v>
      </c>
      <c r="H209" s="37">
        <f>'Прилож №5'!I379</f>
        <v>0</v>
      </c>
      <c r="I209" s="37">
        <f>'Прилож №5'!J379</f>
        <v>2958.2</v>
      </c>
      <c r="J209" s="37">
        <f>'Прилож №5'!K379</f>
        <v>0</v>
      </c>
      <c r="K209" s="297"/>
      <c r="L209" s="292"/>
    </row>
    <row r="210" spans="1:12" s="46" customFormat="1" ht="15.75">
      <c r="A210" s="45" t="s">
        <v>211</v>
      </c>
      <c r="B210" s="41" t="s">
        <v>190</v>
      </c>
      <c r="C210" s="17" t="s">
        <v>190</v>
      </c>
      <c r="D210" s="29" t="s">
        <v>30</v>
      </c>
      <c r="E210" s="17"/>
      <c r="F210" s="29"/>
      <c r="G210" s="37">
        <f>G211</f>
        <v>3188.7999999999997</v>
      </c>
      <c r="H210" s="37">
        <f aca="true" t="shared" si="28" ref="H210:J211">H211</f>
        <v>0</v>
      </c>
      <c r="I210" s="37">
        <f t="shared" si="28"/>
        <v>3104.7</v>
      </c>
      <c r="J210" s="37">
        <f t="shared" si="28"/>
        <v>0</v>
      </c>
      <c r="K210" s="297"/>
      <c r="L210" s="292"/>
    </row>
    <row r="211" spans="1:12" s="46" customFormat="1" ht="15.75">
      <c r="A211" s="24" t="s">
        <v>212</v>
      </c>
      <c r="B211" s="41" t="s">
        <v>190</v>
      </c>
      <c r="C211" s="17" t="s">
        <v>190</v>
      </c>
      <c r="D211" s="29" t="s">
        <v>213</v>
      </c>
      <c r="E211" s="17"/>
      <c r="F211" s="29"/>
      <c r="G211" s="37">
        <f>G212</f>
        <v>3188.7999999999997</v>
      </c>
      <c r="H211" s="37">
        <f t="shared" si="28"/>
        <v>0</v>
      </c>
      <c r="I211" s="37">
        <f t="shared" si="28"/>
        <v>3104.7</v>
      </c>
      <c r="J211" s="37">
        <f t="shared" si="28"/>
        <v>0</v>
      </c>
      <c r="K211" s="297"/>
      <c r="L211" s="292"/>
    </row>
    <row r="212" spans="1:12" s="46" customFormat="1" ht="15.75">
      <c r="A212" s="25" t="s">
        <v>168</v>
      </c>
      <c r="B212" s="41" t="s">
        <v>190</v>
      </c>
      <c r="C212" s="17" t="s">
        <v>190</v>
      </c>
      <c r="D212" s="29" t="s">
        <v>213</v>
      </c>
      <c r="E212" s="17" t="s">
        <v>84</v>
      </c>
      <c r="F212" s="29"/>
      <c r="G212" s="37">
        <f>'Прилож №5'!H248+'Прилож №5'!H382</f>
        <v>3188.7999999999997</v>
      </c>
      <c r="H212" s="37">
        <f>'Прилож №5'!I248+'Прилож №5'!I382</f>
        <v>0</v>
      </c>
      <c r="I212" s="37">
        <f>'Прилож №5'!J248+'Прилож №5'!J382</f>
        <v>3104.7</v>
      </c>
      <c r="J212" s="37">
        <f>'Прилож №5'!K248+'Прилож №5'!K382</f>
        <v>0</v>
      </c>
      <c r="K212" s="297"/>
      <c r="L212" s="292"/>
    </row>
    <row r="213" spans="1:12" s="46" customFormat="1" ht="15.75">
      <c r="A213" s="24" t="s">
        <v>127</v>
      </c>
      <c r="B213" s="41" t="s">
        <v>190</v>
      </c>
      <c r="C213" s="17" t="s">
        <v>190</v>
      </c>
      <c r="D213" s="29" t="s">
        <v>128</v>
      </c>
      <c r="E213" s="17"/>
      <c r="F213" s="29"/>
      <c r="G213" s="37">
        <f>G214</f>
        <v>395.4000000000001</v>
      </c>
      <c r="H213" s="37">
        <f aca="true" t="shared" si="29" ref="H213:J214">H214</f>
        <v>0</v>
      </c>
      <c r="I213" s="37">
        <f t="shared" si="29"/>
        <v>395.4</v>
      </c>
      <c r="J213" s="37">
        <f t="shared" si="29"/>
        <v>0</v>
      </c>
      <c r="K213" s="297"/>
      <c r="L213" s="292"/>
    </row>
    <row r="214" spans="1:12" s="46" customFormat="1" ht="26.25">
      <c r="A214" s="45" t="s">
        <v>247</v>
      </c>
      <c r="B214" s="41" t="s">
        <v>190</v>
      </c>
      <c r="C214" s="17" t="s">
        <v>190</v>
      </c>
      <c r="D214" s="29" t="s">
        <v>217</v>
      </c>
      <c r="E214" s="17"/>
      <c r="F214" s="29"/>
      <c r="G214" s="37">
        <f>G215</f>
        <v>395.4000000000001</v>
      </c>
      <c r="H214" s="37">
        <f t="shared" si="29"/>
        <v>0</v>
      </c>
      <c r="I214" s="37">
        <f t="shared" si="29"/>
        <v>395.4</v>
      </c>
      <c r="J214" s="37">
        <f t="shared" si="29"/>
        <v>0</v>
      </c>
      <c r="K214" s="297"/>
      <c r="L214" s="292"/>
    </row>
    <row r="215" spans="1:12" s="46" customFormat="1" ht="15.75">
      <c r="A215" s="26" t="s">
        <v>142</v>
      </c>
      <c r="B215" s="41" t="s">
        <v>190</v>
      </c>
      <c r="C215" s="17" t="s">
        <v>190</v>
      </c>
      <c r="D215" s="29" t="s">
        <v>217</v>
      </c>
      <c r="E215" s="17" t="s">
        <v>266</v>
      </c>
      <c r="F215" s="29"/>
      <c r="G215" s="37">
        <f>'Прилож №5'!H385</f>
        <v>395.4000000000001</v>
      </c>
      <c r="H215" s="37">
        <f>'Прилож №5'!I385</f>
        <v>0</v>
      </c>
      <c r="I215" s="37">
        <f>'Прилож №5'!J385</f>
        <v>395.4</v>
      </c>
      <c r="J215" s="37">
        <f>'Прилож №5'!K385</f>
        <v>0</v>
      </c>
      <c r="K215" s="297"/>
      <c r="L215" s="292"/>
    </row>
    <row r="216" spans="1:12" s="46" customFormat="1" ht="15.75">
      <c r="A216" s="209" t="s">
        <v>33</v>
      </c>
      <c r="B216" s="94" t="s">
        <v>190</v>
      </c>
      <c r="C216" s="91" t="s">
        <v>188</v>
      </c>
      <c r="D216" s="103"/>
      <c r="E216" s="91"/>
      <c r="F216" s="103"/>
      <c r="G216" s="75">
        <f>G217+G223+G226+G220</f>
        <v>39189.8</v>
      </c>
      <c r="H216" s="75">
        <f>H217+H223+H226+H220</f>
        <v>8544.3</v>
      </c>
      <c r="I216" s="75">
        <f>I217+I223+I226+I220</f>
        <v>38643.4</v>
      </c>
      <c r="J216" s="75">
        <f>J217+J223+J226+J220</f>
        <v>8527</v>
      </c>
      <c r="K216" s="297"/>
      <c r="L216" s="292"/>
    </row>
    <row r="217" spans="1:12" s="46" customFormat="1" ht="15.75">
      <c r="A217" s="213" t="s">
        <v>143</v>
      </c>
      <c r="B217" s="41" t="s">
        <v>190</v>
      </c>
      <c r="C217" s="17" t="s">
        <v>188</v>
      </c>
      <c r="D217" s="29" t="s">
        <v>265</v>
      </c>
      <c r="E217" s="17"/>
      <c r="F217" s="29"/>
      <c r="G217" s="37">
        <f>G218</f>
        <v>10389.7</v>
      </c>
      <c r="H217" s="37">
        <f aca="true" t="shared" si="30" ref="H217:J218">H218</f>
        <v>0</v>
      </c>
      <c r="I217" s="37">
        <f t="shared" si="30"/>
        <v>10066.9</v>
      </c>
      <c r="J217" s="37">
        <f t="shared" si="30"/>
        <v>0</v>
      </c>
      <c r="K217" s="297"/>
      <c r="L217" s="292"/>
    </row>
    <row r="218" spans="1:12" s="46" customFormat="1" ht="15.75">
      <c r="A218" s="215" t="s">
        <v>50</v>
      </c>
      <c r="B218" s="41" t="s">
        <v>190</v>
      </c>
      <c r="C218" s="17" t="s">
        <v>188</v>
      </c>
      <c r="D218" s="29" t="s">
        <v>267</v>
      </c>
      <c r="E218" s="17"/>
      <c r="F218" s="29"/>
      <c r="G218" s="37">
        <f>G219</f>
        <v>10389.7</v>
      </c>
      <c r="H218" s="37">
        <f t="shared" si="30"/>
        <v>0</v>
      </c>
      <c r="I218" s="37">
        <f t="shared" si="30"/>
        <v>10066.9</v>
      </c>
      <c r="J218" s="37">
        <f t="shared" si="30"/>
        <v>0</v>
      </c>
      <c r="K218" s="297"/>
      <c r="L218" s="292"/>
    </row>
    <row r="219" spans="1:12" s="46" customFormat="1" ht="15.75">
      <c r="A219" s="215" t="s">
        <v>142</v>
      </c>
      <c r="B219" s="41" t="s">
        <v>190</v>
      </c>
      <c r="C219" s="17" t="s">
        <v>188</v>
      </c>
      <c r="D219" s="29" t="s">
        <v>267</v>
      </c>
      <c r="E219" s="17" t="s">
        <v>266</v>
      </c>
      <c r="F219" s="29"/>
      <c r="G219" s="37">
        <f>'Прилож №5'!H252</f>
        <v>10389.7</v>
      </c>
      <c r="H219" s="37">
        <f>'Прилож №5'!I252</f>
        <v>0</v>
      </c>
      <c r="I219" s="37">
        <f>'Прилож №5'!J252</f>
        <v>10066.9</v>
      </c>
      <c r="J219" s="37">
        <f>'Прилож №5'!K252</f>
        <v>0</v>
      </c>
      <c r="K219" s="297"/>
      <c r="L219" s="292"/>
    </row>
    <row r="220" spans="1:12" s="46" customFormat="1" ht="15.75">
      <c r="A220" s="214" t="s">
        <v>258</v>
      </c>
      <c r="B220" s="41" t="s">
        <v>190</v>
      </c>
      <c r="C220" s="17" t="s">
        <v>188</v>
      </c>
      <c r="D220" s="29" t="s">
        <v>259</v>
      </c>
      <c r="E220" s="17"/>
      <c r="F220" s="29"/>
      <c r="G220" s="37">
        <f>G221</f>
        <v>8107.8</v>
      </c>
      <c r="H220" s="37">
        <f aca="true" t="shared" si="31" ref="H220:J221">H221</f>
        <v>8107.8</v>
      </c>
      <c r="I220" s="37">
        <f t="shared" si="31"/>
        <v>8102.6</v>
      </c>
      <c r="J220" s="37">
        <f t="shared" si="31"/>
        <v>8102.6</v>
      </c>
      <c r="K220" s="297"/>
      <c r="L220" s="292"/>
    </row>
    <row r="221" spans="1:12" s="46" customFormat="1" ht="15.75">
      <c r="A221" s="214" t="s">
        <v>261</v>
      </c>
      <c r="B221" s="41" t="s">
        <v>190</v>
      </c>
      <c r="C221" s="17" t="s">
        <v>188</v>
      </c>
      <c r="D221" s="29" t="s">
        <v>260</v>
      </c>
      <c r="E221" s="17"/>
      <c r="F221" s="29"/>
      <c r="G221" s="37">
        <f>G222</f>
        <v>8107.8</v>
      </c>
      <c r="H221" s="37">
        <f t="shared" si="31"/>
        <v>8107.8</v>
      </c>
      <c r="I221" s="37">
        <f t="shared" si="31"/>
        <v>8102.6</v>
      </c>
      <c r="J221" s="37">
        <f t="shared" si="31"/>
        <v>8102.6</v>
      </c>
      <c r="K221" s="297"/>
      <c r="L221" s="292"/>
    </row>
    <row r="222" spans="1:12" s="46" customFormat="1" ht="15.75">
      <c r="A222" s="214" t="s">
        <v>262</v>
      </c>
      <c r="B222" s="41" t="s">
        <v>190</v>
      </c>
      <c r="C222" s="17" t="s">
        <v>188</v>
      </c>
      <c r="D222" s="29" t="s">
        <v>260</v>
      </c>
      <c r="E222" s="17" t="s">
        <v>263</v>
      </c>
      <c r="F222" s="29"/>
      <c r="G222" s="37">
        <f>'Прилож №5'!H255</f>
        <v>8107.8</v>
      </c>
      <c r="H222" s="37">
        <f>'Прилож №5'!I255</f>
        <v>8107.8</v>
      </c>
      <c r="I222" s="37">
        <f>'Прилож №5'!J255</f>
        <v>8102.6</v>
      </c>
      <c r="J222" s="37">
        <f>'Прилож №5'!K255</f>
        <v>8102.6</v>
      </c>
      <c r="K222" s="297"/>
      <c r="L222" s="292"/>
    </row>
    <row r="223" spans="1:12" s="46" customFormat="1" ht="60">
      <c r="A223" s="202" t="s">
        <v>109</v>
      </c>
      <c r="B223" s="41" t="s">
        <v>190</v>
      </c>
      <c r="C223" s="17" t="s">
        <v>188</v>
      </c>
      <c r="D223" s="29" t="s">
        <v>40</v>
      </c>
      <c r="E223" s="17"/>
      <c r="F223" s="29"/>
      <c r="G223" s="37">
        <f>G224</f>
        <v>10362.9</v>
      </c>
      <c r="H223" s="37">
        <f aca="true" t="shared" si="32" ref="H223:J224">H224</f>
        <v>436.5</v>
      </c>
      <c r="I223" s="37">
        <f t="shared" si="32"/>
        <v>10189.2</v>
      </c>
      <c r="J223" s="37">
        <f t="shared" si="32"/>
        <v>424.4</v>
      </c>
      <c r="K223" s="297"/>
      <c r="L223" s="292"/>
    </row>
    <row r="224" spans="1:12" s="46" customFormat="1" ht="15.75">
      <c r="A224" s="212" t="s">
        <v>27</v>
      </c>
      <c r="B224" s="41" t="s">
        <v>190</v>
      </c>
      <c r="C224" s="17" t="s">
        <v>188</v>
      </c>
      <c r="D224" s="29" t="s">
        <v>214</v>
      </c>
      <c r="E224" s="17"/>
      <c r="F224" s="29"/>
      <c r="G224" s="37">
        <f>G225</f>
        <v>10362.9</v>
      </c>
      <c r="H224" s="37">
        <f t="shared" si="32"/>
        <v>436.5</v>
      </c>
      <c r="I224" s="37">
        <f t="shared" si="32"/>
        <v>10189.2</v>
      </c>
      <c r="J224" s="37">
        <f t="shared" si="32"/>
        <v>424.4</v>
      </c>
      <c r="K224" s="297"/>
      <c r="L224" s="292"/>
    </row>
    <row r="225" spans="1:12" s="46" customFormat="1" ht="15.75">
      <c r="A225" s="214" t="s">
        <v>168</v>
      </c>
      <c r="B225" s="41" t="s">
        <v>190</v>
      </c>
      <c r="C225" s="17" t="s">
        <v>188</v>
      </c>
      <c r="D225" s="29" t="s">
        <v>214</v>
      </c>
      <c r="E225" s="17" t="s">
        <v>84</v>
      </c>
      <c r="F225" s="29"/>
      <c r="G225" s="37">
        <f>'Прилож №5'!H258</f>
        <v>10362.9</v>
      </c>
      <c r="H225" s="37">
        <f>'Прилож №5'!I258</f>
        <v>436.5</v>
      </c>
      <c r="I225" s="37">
        <f>'Прилож №5'!J258</f>
        <v>10189.2</v>
      </c>
      <c r="J225" s="37">
        <f>'Прилож №5'!K258</f>
        <v>424.4</v>
      </c>
      <c r="K225" s="297"/>
      <c r="L225" s="292"/>
    </row>
    <row r="226" spans="1:12" s="46" customFormat="1" ht="15.75">
      <c r="A226" s="212" t="s">
        <v>127</v>
      </c>
      <c r="B226" s="40" t="s">
        <v>190</v>
      </c>
      <c r="C226" s="21" t="s">
        <v>188</v>
      </c>
      <c r="D226" s="28" t="s">
        <v>128</v>
      </c>
      <c r="E226" s="21"/>
      <c r="F226" s="28"/>
      <c r="G226" s="36">
        <f>G227</f>
        <v>10329.4</v>
      </c>
      <c r="H226" s="36">
        <f aca="true" t="shared" si="33" ref="H226:J227">H227</f>
        <v>0</v>
      </c>
      <c r="I226" s="36">
        <f t="shared" si="33"/>
        <v>10284.7</v>
      </c>
      <c r="J226" s="36">
        <f t="shared" si="33"/>
        <v>0</v>
      </c>
      <c r="K226" s="297"/>
      <c r="L226" s="292"/>
    </row>
    <row r="227" spans="1:12" s="46" customFormat="1" ht="30">
      <c r="A227" s="202" t="s">
        <v>215</v>
      </c>
      <c r="B227" s="15" t="s">
        <v>190</v>
      </c>
      <c r="C227" s="14" t="s">
        <v>188</v>
      </c>
      <c r="D227" s="9" t="s">
        <v>216</v>
      </c>
      <c r="E227" s="14"/>
      <c r="F227" s="9"/>
      <c r="G227" s="39">
        <f>G228</f>
        <v>10329.4</v>
      </c>
      <c r="H227" s="39">
        <f t="shared" si="33"/>
        <v>0</v>
      </c>
      <c r="I227" s="39">
        <f t="shared" si="33"/>
        <v>10284.7</v>
      </c>
      <c r="J227" s="39">
        <f t="shared" si="33"/>
        <v>0</v>
      </c>
      <c r="K227" s="297"/>
      <c r="L227" s="292"/>
    </row>
    <row r="228" spans="1:12" s="46" customFormat="1" ht="16.5" thickBot="1">
      <c r="A228" s="25" t="s">
        <v>142</v>
      </c>
      <c r="B228" s="42" t="s">
        <v>190</v>
      </c>
      <c r="C228" s="19" t="s">
        <v>188</v>
      </c>
      <c r="D228" s="30" t="s">
        <v>216</v>
      </c>
      <c r="E228" s="19" t="s">
        <v>266</v>
      </c>
      <c r="F228" s="30"/>
      <c r="G228" s="35">
        <f>'Прилож №5'!H261</f>
        <v>10329.4</v>
      </c>
      <c r="H228" s="35">
        <f>'Прилож №5'!I261</f>
        <v>0</v>
      </c>
      <c r="I228" s="35">
        <f>'Прилож №5'!J261</f>
        <v>10284.7</v>
      </c>
      <c r="J228" s="35">
        <f>'Прилож №5'!K261</f>
        <v>0</v>
      </c>
      <c r="K228" s="299"/>
      <c r="L228" s="300"/>
    </row>
    <row r="229" spans="1:12" s="46" customFormat="1" ht="16.5" thickBot="1">
      <c r="A229" s="211" t="s">
        <v>114</v>
      </c>
      <c r="B229" s="141" t="s">
        <v>191</v>
      </c>
      <c r="C229" s="18" t="s">
        <v>123</v>
      </c>
      <c r="D229" s="143"/>
      <c r="E229" s="18"/>
      <c r="F229" s="187"/>
      <c r="G229" s="38">
        <f>G230+G251</f>
        <v>81349.59999999999</v>
      </c>
      <c r="H229" s="38">
        <f>H230+H251</f>
        <v>252</v>
      </c>
      <c r="I229" s="38">
        <f>I230+I251</f>
        <v>75369.6</v>
      </c>
      <c r="J229" s="38">
        <f>J230+J251</f>
        <v>250.7</v>
      </c>
      <c r="K229" s="38">
        <f>I229/G229*100</f>
        <v>92.6490111813703</v>
      </c>
      <c r="L229" s="38">
        <f>J229/H229*100</f>
        <v>99.48412698412697</v>
      </c>
    </row>
    <row r="230" spans="1:12" s="46" customFormat="1" ht="15.75">
      <c r="A230" s="133" t="s">
        <v>34</v>
      </c>
      <c r="B230" s="93" t="s">
        <v>191</v>
      </c>
      <c r="C230" s="16" t="s">
        <v>182</v>
      </c>
      <c r="D230" s="31"/>
      <c r="E230" s="16"/>
      <c r="F230" s="31" t="s">
        <v>10</v>
      </c>
      <c r="G230" s="79">
        <f>G231+G234+G237+G240+G243+G248</f>
        <v>74481.09999999999</v>
      </c>
      <c r="H230" s="79">
        <f>H231+H234+H237+H240+H243+H248</f>
        <v>252</v>
      </c>
      <c r="I230" s="79">
        <f>I231+I234+I237+I240+I243+I248</f>
        <v>68800</v>
      </c>
      <c r="J230" s="79">
        <f>J231+J234+J237+J240+J243+J248</f>
        <v>250.7</v>
      </c>
      <c r="K230" s="296"/>
      <c r="L230" s="291"/>
    </row>
    <row r="231" spans="1:12" s="46" customFormat="1" ht="30">
      <c r="A231" s="213" t="s">
        <v>117</v>
      </c>
      <c r="B231" s="41" t="s">
        <v>191</v>
      </c>
      <c r="C231" s="17" t="s">
        <v>182</v>
      </c>
      <c r="D231" s="29" t="s">
        <v>35</v>
      </c>
      <c r="E231" s="17"/>
      <c r="F231" s="29" t="s">
        <v>11</v>
      </c>
      <c r="G231" s="37">
        <f>G232</f>
        <v>46765.3</v>
      </c>
      <c r="H231" s="37">
        <f aca="true" t="shared" si="34" ref="H231:J232">H232</f>
        <v>0</v>
      </c>
      <c r="I231" s="37">
        <f t="shared" si="34"/>
        <v>44641.7</v>
      </c>
      <c r="J231" s="37">
        <f t="shared" si="34"/>
        <v>0</v>
      </c>
      <c r="K231" s="297"/>
      <c r="L231" s="292"/>
    </row>
    <row r="232" spans="1:12" s="46" customFormat="1" ht="15.75">
      <c r="A232" s="214" t="s">
        <v>27</v>
      </c>
      <c r="B232" s="41" t="s">
        <v>191</v>
      </c>
      <c r="C232" s="17" t="s">
        <v>182</v>
      </c>
      <c r="D232" s="29" t="s">
        <v>218</v>
      </c>
      <c r="E232" s="17"/>
      <c r="F232" s="29"/>
      <c r="G232" s="37">
        <f>G233</f>
        <v>46765.3</v>
      </c>
      <c r="H232" s="37">
        <f t="shared" si="34"/>
        <v>0</v>
      </c>
      <c r="I232" s="37">
        <f t="shared" si="34"/>
        <v>44641.7</v>
      </c>
      <c r="J232" s="37">
        <f t="shared" si="34"/>
        <v>0</v>
      </c>
      <c r="K232" s="297"/>
      <c r="L232" s="292"/>
    </row>
    <row r="233" spans="1:12" s="46" customFormat="1" ht="15.75">
      <c r="A233" s="212" t="s">
        <v>168</v>
      </c>
      <c r="B233" s="41" t="s">
        <v>191</v>
      </c>
      <c r="C233" s="17" t="s">
        <v>182</v>
      </c>
      <c r="D233" s="29" t="s">
        <v>218</v>
      </c>
      <c r="E233" s="17" t="s">
        <v>84</v>
      </c>
      <c r="F233" s="29"/>
      <c r="G233" s="37">
        <f>'Прилож №5'!H286</f>
        <v>46765.3</v>
      </c>
      <c r="H233" s="37">
        <f>'Прилож №5'!I286</f>
        <v>0</v>
      </c>
      <c r="I233" s="37">
        <f>'Прилож №5'!J286</f>
        <v>44641.7</v>
      </c>
      <c r="J233" s="37">
        <f>'Прилож №5'!K286</f>
        <v>0</v>
      </c>
      <c r="K233" s="297"/>
      <c r="L233" s="292"/>
    </row>
    <row r="234" spans="1:12" s="46" customFormat="1" ht="15.75">
      <c r="A234" s="212" t="s">
        <v>13</v>
      </c>
      <c r="B234" s="41" t="s">
        <v>191</v>
      </c>
      <c r="C234" s="17" t="s">
        <v>182</v>
      </c>
      <c r="D234" s="29" t="s">
        <v>36</v>
      </c>
      <c r="E234" s="17"/>
      <c r="F234" s="29"/>
      <c r="G234" s="37">
        <f>G235</f>
        <v>3265.7000000000003</v>
      </c>
      <c r="H234" s="37">
        <f aca="true" t="shared" si="35" ref="H234:J235">H235</f>
        <v>0</v>
      </c>
      <c r="I234" s="37">
        <f t="shared" si="35"/>
        <v>3169.9</v>
      </c>
      <c r="J234" s="37">
        <f t="shared" si="35"/>
        <v>0</v>
      </c>
      <c r="K234" s="297"/>
      <c r="L234" s="292"/>
    </row>
    <row r="235" spans="1:12" s="46" customFormat="1" ht="15.75">
      <c r="A235" s="214" t="s">
        <v>27</v>
      </c>
      <c r="B235" s="41" t="s">
        <v>191</v>
      </c>
      <c r="C235" s="17" t="s">
        <v>182</v>
      </c>
      <c r="D235" s="29" t="s">
        <v>219</v>
      </c>
      <c r="E235" s="17"/>
      <c r="F235" s="29"/>
      <c r="G235" s="37">
        <f>G236</f>
        <v>3265.7000000000003</v>
      </c>
      <c r="H235" s="37">
        <f t="shared" si="35"/>
        <v>0</v>
      </c>
      <c r="I235" s="37">
        <f t="shared" si="35"/>
        <v>3169.9</v>
      </c>
      <c r="J235" s="37">
        <f t="shared" si="35"/>
        <v>0</v>
      </c>
      <c r="K235" s="297"/>
      <c r="L235" s="292"/>
    </row>
    <row r="236" spans="1:12" s="46" customFormat="1" ht="15.75">
      <c r="A236" s="212" t="s">
        <v>168</v>
      </c>
      <c r="B236" s="41" t="s">
        <v>191</v>
      </c>
      <c r="C236" s="17" t="s">
        <v>182</v>
      </c>
      <c r="D236" s="29" t="s">
        <v>219</v>
      </c>
      <c r="E236" s="17" t="s">
        <v>84</v>
      </c>
      <c r="F236" s="29"/>
      <c r="G236" s="37">
        <f>'Прилож №5'!H289</f>
        <v>3265.7000000000003</v>
      </c>
      <c r="H236" s="37">
        <f>'Прилож №5'!I289</f>
        <v>0</v>
      </c>
      <c r="I236" s="37">
        <f>'Прилож №5'!J289</f>
        <v>3169.9</v>
      </c>
      <c r="J236" s="37">
        <f>'Прилож №5'!K289</f>
        <v>0</v>
      </c>
      <c r="K236" s="297"/>
      <c r="L236" s="292"/>
    </row>
    <row r="237" spans="1:12" s="46" customFormat="1" ht="15.75">
      <c r="A237" s="212" t="s">
        <v>14</v>
      </c>
      <c r="B237" s="41" t="s">
        <v>191</v>
      </c>
      <c r="C237" s="17" t="s">
        <v>182</v>
      </c>
      <c r="D237" s="29" t="s">
        <v>37</v>
      </c>
      <c r="E237" s="17"/>
      <c r="F237" s="29"/>
      <c r="G237" s="37">
        <f>G238</f>
        <v>11513.2</v>
      </c>
      <c r="H237" s="37">
        <f aca="true" t="shared" si="36" ref="H237:J238">H238</f>
        <v>0</v>
      </c>
      <c r="I237" s="37">
        <f t="shared" si="36"/>
        <v>9834.7</v>
      </c>
      <c r="J237" s="37">
        <f t="shared" si="36"/>
        <v>0</v>
      </c>
      <c r="K237" s="297"/>
      <c r="L237" s="292"/>
    </row>
    <row r="238" spans="1:12" s="46" customFormat="1" ht="15.75">
      <c r="A238" s="214" t="s">
        <v>27</v>
      </c>
      <c r="B238" s="41" t="s">
        <v>191</v>
      </c>
      <c r="C238" s="17" t="s">
        <v>182</v>
      </c>
      <c r="D238" s="29" t="s">
        <v>220</v>
      </c>
      <c r="E238" s="17"/>
      <c r="F238" s="29"/>
      <c r="G238" s="37">
        <f>G239</f>
        <v>11513.2</v>
      </c>
      <c r="H238" s="37">
        <f t="shared" si="36"/>
        <v>0</v>
      </c>
      <c r="I238" s="37">
        <f t="shared" si="36"/>
        <v>9834.7</v>
      </c>
      <c r="J238" s="37">
        <f t="shared" si="36"/>
        <v>0</v>
      </c>
      <c r="K238" s="297"/>
      <c r="L238" s="292"/>
    </row>
    <row r="239" spans="1:12" s="46" customFormat="1" ht="15.75">
      <c r="A239" s="212" t="s">
        <v>168</v>
      </c>
      <c r="B239" s="41" t="s">
        <v>191</v>
      </c>
      <c r="C239" s="17" t="s">
        <v>182</v>
      </c>
      <c r="D239" s="29" t="s">
        <v>220</v>
      </c>
      <c r="E239" s="17" t="s">
        <v>84</v>
      </c>
      <c r="F239" s="29"/>
      <c r="G239" s="37">
        <f>'Прилож №5'!H292</f>
        <v>11513.2</v>
      </c>
      <c r="H239" s="37">
        <f>'Прилож №5'!I292</f>
        <v>0</v>
      </c>
      <c r="I239" s="37">
        <f>'Прилож №5'!J292</f>
        <v>9834.7</v>
      </c>
      <c r="J239" s="37">
        <f>'Прилож №5'!K292</f>
        <v>0</v>
      </c>
      <c r="K239" s="297"/>
      <c r="L239" s="292"/>
    </row>
    <row r="240" spans="1:12" s="46" customFormat="1" ht="30">
      <c r="A240" s="213" t="s">
        <v>110</v>
      </c>
      <c r="B240" s="41" t="s">
        <v>191</v>
      </c>
      <c r="C240" s="17" t="s">
        <v>182</v>
      </c>
      <c r="D240" s="29" t="s">
        <v>38</v>
      </c>
      <c r="E240" s="17"/>
      <c r="F240" s="29"/>
      <c r="G240" s="37">
        <f>G241</f>
        <v>9946.8</v>
      </c>
      <c r="H240" s="37">
        <f aca="true" t="shared" si="37" ref="H240:J241">H241</f>
        <v>0</v>
      </c>
      <c r="I240" s="37">
        <f t="shared" si="37"/>
        <v>9061.7</v>
      </c>
      <c r="J240" s="37">
        <f t="shared" si="37"/>
        <v>0</v>
      </c>
      <c r="K240" s="297"/>
      <c r="L240" s="292"/>
    </row>
    <row r="241" spans="1:12" s="46" customFormat="1" ht="15.75">
      <c r="A241" s="214" t="s">
        <v>27</v>
      </c>
      <c r="B241" s="41" t="s">
        <v>191</v>
      </c>
      <c r="C241" s="17" t="s">
        <v>182</v>
      </c>
      <c r="D241" s="29" t="s">
        <v>221</v>
      </c>
      <c r="E241" s="17"/>
      <c r="F241" s="29"/>
      <c r="G241" s="37">
        <f>G242</f>
        <v>9946.8</v>
      </c>
      <c r="H241" s="37">
        <f t="shared" si="37"/>
        <v>0</v>
      </c>
      <c r="I241" s="37">
        <f t="shared" si="37"/>
        <v>9061.7</v>
      </c>
      <c r="J241" s="37">
        <f t="shared" si="37"/>
        <v>0</v>
      </c>
      <c r="K241" s="297"/>
      <c r="L241" s="292"/>
    </row>
    <row r="242" spans="1:12" s="46" customFormat="1" ht="15.75">
      <c r="A242" s="212" t="s">
        <v>168</v>
      </c>
      <c r="B242" s="41" t="s">
        <v>191</v>
      </c>
      <c r="C242" s="17" t="s">
        <v>182</v>
      </c>
      <c r="D242" s="30" t="s">
        <v>221</v>
      </c>
      <c r="E242" s="17" t="s">
        <v>84</v>
      </c>
      <c r="F242" s="30"/>
      <c r="G242" s="37">
        <f>'Прилож №5'!H295</f>
        <v>9946.8</v>
      </c>
      <c r="H242" s="37">
        <f>'Прилож №5'!I295</f>
        <v>0</v>
      </c>
      <c r="I242" s="37">
        <f>'Прилож №5'!J295</f>
        <v>9061.7</v>
      </c>
      <c r="J242" s="37">
        <f>'Прилож №5'!K295</f>
        <v>0</v>
      </c>
      <c r="K242" s="297"/>
      <c r="L242" s="292"/>
    </row>
    <row r="243" spans="1:12" s="46" customFormat="1" ht="30">
      <c r="A243" s="213" t="s">
        <v>98</v>
      </c>
      <c r="B243" s="41" t="s">
        <v>191</v>
      </c>
      <c r="C243" s="17" t="s">
        <v>182</v>
      </c>
      <c r="D243" s="30" t="s">
        <v>39</v>
      </c>
      <c r="E243" s="17"/>
      <c r="F243" s="30" t="s">
        <v>12</v>
      </c>
      <c r="G243" s="37">
        <f>G246+G244</f>
        <v>673.7</v>
      </c>
      <c r="H243" s="37">
        <f>H246+H244</f>
        <v>252</v>
      </c>
      <c r="I243" s="37">
        <f>I246+I244</f>
        <v>624.7</v>
      </c>
      <c r="J243" s="37">
        <f>J246+J244</f>
        <v>250.7</v>
      </c>
      <c r="K243" s="297"/>
      <c r="L243" s="292"/>
    </row>
    <row r="244" spans="1:12" s="46" customFormat="1" ht="15.75">
      <c r="A244" s="107" t="s">
        <v>420</v>
      </c>
      <c r="B244" s="41" t="s">
        <v>191</v>
      </c>
      <c r="C244" s="17" t="s">
        <v>182</v>
      </c>
      <c r="D244" s="30" t="s">
        <v>421</v>
      </c>
      <c r="E244" s="19"/>
      <c r="F244" s="30"/>
      <c r="G244" s="37">
        <f>G245</f>
        <v>252</v>
      </c>
      <c r="H244" s="37">
        <f>H245</f>
        <v>252</v>
      </c>
      <c r="I244" s="37">
        <f>I245</f>
        <v>250.7</v>
      </c>
      <c r="J244" s="37">
        <f>J245</f>
        <v>250.7</v>
      </c>
      <c r="K244" s="297"/>
      <c r="L244" s="292"/>
    </row>
    <row r="245" spans="1:12" s="46" customFormat="1" ht="15.75">
      <c r="A245" s="8" t="s">
        <v>168</v>
      </c>
      <c r="B245" s="41" t="s">
        <v>191</v>
      </c>
      <c r="C245" s="17" t="s">
        <v>182</v>
      </c>
      <c r="D245" s="30" t="s">
        <v>421</v>
      </c>
      <c r="E245" s="19" t="s">
        <v>84</v>
      </c>
      <c r="F245" s="30"/>
      <c r="G245" s="37">
        <f>'Прилож №5'!H297</f>
        <v>252</v>
      </c>
      <c r="H245" s="37">
        <f>'Прилож №5'!I297</f>
        <v>252</v>
      </c>
      <c r="I245" s="37">
        <f>'Прилож №5'!J297</f>
        <v>250.7</v>
      </c>
      <c r="J245" s="37">
        <f>'Прилож №5'!K297</f>
        <v>250.7</v>
      </c>
      <c r="K245" s="297"/>
      <c r="L245" s="292"/>
    </row>
    <row r="246" spans="1:12" s="46" customFormat="1" ht="30">
      <c r="A246" s="202" t="s">
        <v>99</v>
      </c>
      <c r="B246" s="41" t="s">
        <v>191</v>
      </c>
      <c r="C246" s="17" t="s">
        <v>182</v>
      </c>
      <c r="D246" s="30" t="s">
        <v>222</v>
      </c>
      <c r="E246" s="19"/>
      <c r="F246" s="30"/>
      <c r="G246" s="37">
        <f>G247</f>
        <v>421.70000000000005</v>
      </c>
      <c r="H246" s="37">
        <f>H247</f>
        <v>0</v>
      </c>
      <c r="I246" s="37">
        <f>I247</f>
        <v>374</v>
      </c>
      <c r="J246" s="37">
        <f>J247</f>
        <v>0</v>
      </c>
      <c r="K246" s="297"/>
      <c r="L246" s="292"/>
    </row>
    <row r="247" spans="1:12" s="46" customFormat="1" ht="15.75">
      <c r="A247" s="212" t="s">
        <v>168</v>
      </c>
      <c r="B247" s="41" t="s">
        <v>191</v>
      </c>
      <c r="C247" s="17" t="s">
        <v>182</v>
      </c>
      <c r="D247" s="30" t="s">
        <v>222</v>
      </c>
      <c r="E247" s="19" t="s">
        <v>84</v>
      </c>
      <c r="F247" s="30"/>
      <c r="G247" s="37">
        <f>'Прилож №5'!H364+'Прилож №5'!H167+'Прилож №5'!H266</f>
        <v>421.70000000000005</v>
      </c>
      <c r="H247" s="37">
        <f>'Прилож №5'!I364+'Прилож №5'!I167+'Прилож №5'!I266</f>
        <v>0</v>
      </c>
      <c r="I247" s="37">
        <f>'Прилож №5'!J364+'Прилож №5'!J167+'Прилож №5'!J266</f>
        <v>374</v>
      </c>
      <c r="J247" s="37">
        <f>'Прилож №5'!K364+'Прилож №5'!K167+'Прилож №5'!K266</f>
        <v>0</v>
      </c>
      <c r="K247" s="297"/>
      <c r="L247" s="292"/>
    </row>
    <row r="248" spans="1:12" s="46" customFormat="1" ht="15.75">
      <c r="A248" s="212" t="s">
        <v>127</v>
      </c>
      <c r="B248" s="41" t="s">
        <v>191</v>
      </c>
      <c r="C248" s="19" t="s">
        <v>182</v>
      </c>
      <c r="D248" s="30" t="s">
        <v>128</v>
      </c>
      <c r="E248" s="19"/>
      <c r="F248" s="30"/>
      <c r="G248" s="37">
        <f>G249</f>
        <v>2316.3999999999996</v>
      </c>
      <c r="H248" s="37">
        <f aca="true" t="shared" si="38" ref="H248:J249">H249</f>
        <v>0</v>
      </c>
      <c r="I248" s="37">
        <f t="shared" si="38"/>
        <v>1467.3000000000002</v>
      </c>
      <c r="J248" s="37">
        <f t="shared" si="38"/>
        <v>0</v>
      </c>
      <c r="K248" s="297"/>
      <c r="L248" s="292"/>
    </row>
    <row r="249" spans="1:12" s="46" customFormat="1" ht="30">
      <c r="A249" s="213" t="s">
        <v>245</v>
      </c>
      <c r="B249" s="41" t="s">
        <v>191</v>
      </c>
      <c r="C249" s="19" t="s">
        <v>182</v>
      </c>
      <c r="D249" s="30" t="s">
        <v>244</v>
      </c>
      <c r="E249" s="19"/>
      <c r="F249" s="30"/>
      <c r="G249" s="37">
        <f>G250</f>
        <v>2316.3999999999996</v>
      </c>
      <c r="H249" s="37">
        <f t="shared" si="38"/>
        <v>0</v>
      </c>
      <c r="I249" s="37">
        <f t="shared" si="38"/>
        <v>1467.3000000000002</v>
      </c>
      <c r="J249" s="37">
        <f t="shared" si="38"/>
        <v>0</v>
      </c>
      <c r="K249" s="297"/>
      <c r="L249" s="292"/>
    </row>
    <row r="250" spans="1:12" s="46" customFormat="1" ht="30">
      <c r="A250" s="213" t="s">
        <v>328</v>
      </c>
      <c r="B250" s="41" t="s">
        <v>191</v>
      </c>
      <c r="C250" s="19" t="s">
        <v>182</v>
      </c>
      <c r="D250" s="30" t="s">
        <v>244</v>
      </c>
      <c r="E250" s="19" t="s">
        <v>329</v>
      </c>
      <c r="F250" s="30"/>
      <c r="G250" s="37">
        <f>'Прилож №5'!H301+'Прилож №5'!H170+'Прилож №5'!H367</f>
        <v>2316.3999999999996</v>
      </c>
      <c r="H250" s="37">
        <f>'Прилож №5'!I301+'Прилож №5'!I170+'Прилож №5'!I367</f>
        <v>0</v>
      </c>
      <c r="I250" s="37">
        <f>'Прилож №5'!J301+'Прилож №5'!J170+'Прилож №5'!J367</f>
        <v>1467.3000000000002</v>
      </c>
      <c r="J250" s="37">
        <f>'Прилож №5'!K301+'Прилож №5'!K170+'Прилож №5'!K367</f>
        <v>0</v>
      </c>
      <c r="K250" s="297"/>
      <c r="L250" s="292"/>
    </row>
    <row r="251" spans="1:12" s="46" customFormat="1" ht="29.25">
      <c r="A251" s="208" t="s">
        <v>111</v>
      </c>
      <c r="B251" s="96" t="s">
        <v>191</v>
      </c>
      <c r="C251" s="92" t="s">
        <v>201</v>
      </c>
      <c r="D251" s="105" t="s">
        <v>47</v>
      </c>
      <c r="E251" s="92" t="s">
        <v>49</v>
      </c>
      <c r="F251" s="105"/>
      <c r="G251" s="277">
        <f>G252+G255</f>
        <v>6868.5</v>
      </c>
      <c r="H251" s="277">
        <f>H252+H255</f>
        <v>0</v>
      </c>
      <c r="I251" s="277">
        <f>I252+I255</f>
        <v>6569.6</v>
      </c>
      <c r="J251" s="277">
        <f>J252+J255</f>
        <v>0</v>
      </c>
      <c r="K251" s="297"/>
      <c r="L251" s="292"/>
    </row>
    <row r="252" spans="1:12" s="46" customFormat="1" ht="18" customHeight="1">
      <c r="A252" s="213" t="s">
        <v>143</v>
      </c>
      <c r="B252" s="41" t="s">
        <v>191</v>
      </c>
      <c r="C252" s="17" t="s">
        <v>201</v>
      </c>
      <c r="D252" s="29" t="s">
        <v>265</v>
      </c>
      <c r="E252" s="17"/>
      <c r="F252" s="30"/>
      <c r="G252" s="35">
        <f>G253</f>
        <v>3873.6</v>
      </c>
      <c r="H252" s="35">
        <f aca="true" t="shared" si="39" ref="H252:J253">H253</f>
        <v>0</v>
      </c>
      <c r="I252" s="35">
        <f t="shared" si="39"/>
        <v>3646.8</v>
      </c>
      <c r="J252" s="35">
        <f t="shared" si="39"/>
        <v>0</v>
      </c>
      <c r="K252" s="297"/>
      <c r="L252" s="292"/>
    </row>
    <row r="253" spans="1:12" s="46" customFormat="1" ht="15.75">
      <c r="A253" s="215" t="s">
        <v>50</v>
      </c>
      <c r="B253" s="41" t="s">
        <v>191</v>
      </c>
      <c r="C253" s="17" t="s">
        <v>201</v>
      </c>
      <c r="D253" s="29" t="s">
        <v>267</v>
      </c>
      <c r="E253" s="17"/>
      <c r="F253" s="30"/>
      <c r="G253" s="35">
        <f>G254</f>
        <v>3873.6</v>
      </c>
      <c r="H253" s="35">
        <f t="shared" si="39"/>
        <v>0</v>
      </c>
      <c r="I253" s="35">
        <f t="shared" si="39"/>
        <v>3646.8</v>
      </c>
      <c r="J253" s="35">
        <f t="shared" si="39"/>
        <v>0</v>
      </c>
      <c r="K253" s="297"/>
      <c r="L253" s="292"/>
    </row>
    <row r="254" spans="1:12" s="46" customFormat="1" ht="15.75">
      <c r="A254" s="215" t="s">
        <v>142</v>
      </c>
      <c r="B254" s="41" t="s">
        <v>191</v>
      </c>
      <c r="C254" s="17" t="s">
        <v>201</v>
      </c>
      <c r="D254" s="29" t="s">
        <v>267</v>
      </c>
      <c r="E254" s="17" t="s">
        <v>266</v>
      </c>
      <c r="F254" s="30"/>
      <c r="G254" s="35">
        <f>'Прилож №5'!H305</f>
        <v>3873.6</v>
      </c>
      <c r="H254" s="35">
        <f>'Прилож №5'!I305</f>
        <v>0</v>
      </c>
      <c r="I254" s="35">
        <f>'Прилож №5'!J305</f>
        <v>3646.8</v>
      </c>
      <c r="J254" s="35">
        <f>'Прилож №5'!K305</f>
        <v>0</v>
      </c>
      <c r="K254" s="297"/>
      <c r="L254" s="292"/>
    </row>
    <row r="255" spans="1:12" s="46" customFormat="1" ht="60">
      <c r="A255" s="202" t="s">
        <v>109</v>
      </c>
      <c r="B255" s="41" t="s">
        <v>191</v>
      </c>
      <c r="C255" s="17" t="s">
        <v>201</v>
      </c>
      <c r="D255" s="29" t="s">
        <v>40</v>
      </c>
      <c r="E255" s="17"/>
      <c r="F255" s="29"/>
      <c r="G255" s="37">
        <f>G256</f>
        <v>2994.9</v>
      </c>
      <c r="H255" s="37">
        <f aca="true" t="shared" si="40" ref="H255:J256">H256</f>
        <v>0</v>
      </c>
      <c r="I255" s="37">
        <f t="shared" si="40"/>
        <v>2922.8</v>
      </c>
      <c r="J255" s="37">
        <f t="shared" si="40"/>
        <v>0</v>
      </c>
      <c r="K255" s="297"/>
      <c r="L255" s="292"/>
    </row>
    <row r="256" spans="1:12" s="46" customFormat="1" ht="15.75">
      <c r="A256" s="212" t="s">
        <v>27</v>
      </c>
      <c r="B256" s="41" t="s">
        <v>191</v>
      </c>
      <c r="C256" s="17" t="s">
        <v>201</v>
      </c>
      <c r="D256" s="29" t="s">
        <v>214</v>
      </c>
      <c r="E256" s="17"/>
      <c r="F256" s="29"/>
      <c r="G256" s="37">
        <f>G257</f>
        <v>2994.9</v>
      </c>
      <c r="H256" s="37">
        <f t="shared" si="40"/>
        <v>0</v>
      </c>
      <c r="I256" s="37">
        <f t="shared" si="40"/>
        <v>2922.8</v>
      </c>
      <c r="J256" s="37">
        <f t="shared" si="40"/>
        <v>0</v>
      </c>
      <c r="K256" s="297"/>
      <c r="L256" s="292"/>
    </row>
    <row r="257" spans="1:12" s="46" customFormat="1" ht="16.5" thickBot="1">
      <c r="A257" s="214" t="s">
        <v>168</v>
      </c>
      <c r="B257" s="42" t="s">
        <v>191</v>
      </c>
      <c r="C257" s="19" t="s">
        <v>201</v>
      </c>
      <c r="D257" s="30" t="s">
        <v>214</v>
      </c>
      <c r="E257" s="19" t="s">
        <v>84</v>
      </c>
      <c r="F257" s="30"/>
      <c r="G257" s="35">
        <f>'Прилож №5'!H308</f>
        <v>2994.9</v>
      </c>
      <c r="H257" s="35">
        <f>'Прилож №5'!I308</f>
        <v>0</v>
      </c>
      <c r="I257" s="35">
        <f>'Прилож №5'!J308</f>
        <v>2922.8</v>
      </c>
      <c r="J257" s="35">
        <f>'Прилож №5'!K308</f>
        <v>0</v>
      </c>
      <c r="K257" s="299"/>
      <c r="L257" s="300"/>
    </row>
    <row r="258" spans="1:12" s="46" customFormat="1" ht="16.5" thickBot="1">
      <c r="A258" s="210" t="s">
        <v>223</v>
      </c>
      <c r="B258" s="141" t="s">
        <v>188</v>
      </c>
      <c r="C258" s="18" t="s">
        <v>123</v>
      </c>
      <c r="D258" s="143"/>
      <c r="E258" s="18"/>
      <c r="F258" s="187"/>
      <c r="G258" s="38">
        <f>G259+G287+G301+G271+G276+G280</f>
        <v>707434.8</v>
      </c>
      <c r="H258" s="346">
        <f>H259+H287+H301+H271+H276+H280</f>
        <v>30314</v>
      </c>
      <c r="I258" s="38">
        <f>I259+I287+I301+I271+I276+I280</f>
        <v>640510.7</v>
      </c>
      <c r="J258" s="346">
        <f>J259+J287+J301+J271+J276+J280</f>
        <v>28933.8</v>
      </c>
      <c r="K258" s="38">
        <f>I258/G258*100</f>
        <v>90.53989145006719</v>
      </c>
      <c r="L258" s="38">
        <f>J258/H258*100</f>
        <v>95.44698819027512</v>
      </c>
    </row>
    <row r="259" spans="1:12" s="46" customFormat="1" ht="16.5" thickBot="1">
      <c r="A259" s="210" t="s">
        <v>224</v>
      </c>
      <c r="B259" s="141" t="s">
        <v>188</v>
      </c>
      <c r="C259" s="141" t="s">
        <v>182</v>
      </c>
      <c r="D259" s="18"/>
      <c r="E259" s="155"/>
      <c r="F259" s="143"/>
      <c r="G259" s="38">
        <f>G260+G264+G268</f>
        <v>317761.8</v>
      </c>
      <c r="H259" s="346">
        <f>H260+H264+H268</f>
        <v>20712</v>
      </c>
      <c r="I259" s="38">
        <f>I260+I264+I268</f>
        <v>303342.39999999997</v>
      </c>
      <c r="J259" s="346">
        <f>J260+J264+J268</f>
        <v>20709.6</v>
      </c>
      <c r="K259" s="285"/>
      <c r="L259" s="283"/>
    </row>
    <row r="260" spans="1:12" s="46" customFormat="1" ht="30">
      <c r="A260" s="207" t="s">
        <v>202</v>
      </c>
      <c r="B260" s="15" t="s">
        <v>188</v>
      </c>
      <c r="C260" s="40" t="s">
        <v>182</v>
      </c>
      <c r="D260" s="21" t="s">
        <v>69</v>
      </c>
      <c r="E260" s="312"/>
      <c r="F260" s="28"/>
      <c r="G260" s="36">
        <f aca="true" t="shared" si="41" ref="G260:J262">G261</f>
        <v>111759.7</v>
      </c>
      <c r="H260" s="261">
        <f t="shared" si="41"/>
        <v>20634</v>
      </c>
      <c r="I260" s="36">
        <f t="shared" si="41"/>
        <v>100946.4</v>
      </c>
      <c r="J260" s="261">
        <f t="shared" si="41"/>
        <v>20634</v>
      </c>
      <c r="K260" s="296"/>
      <c r="L260" s="291"/>
    </row>
    <row r="261" spans="1:12" s="46" customFormat="1" ht="57.75" customHeight="1">
      <c r="A261" s="207" t="s">
        <v>203</v>
      </c>
      <c r="B261" s="41" t="s">
        <v>188</v>
      </c>
      <c r="C261" s="40" t="s">
        <v>182</v>
      </c>
      <c r="D261" s="21" t="s">
        <v>204</v>
      </c>
      <c r="E261" s="312"/>
      <c r="F261" s="31"/>
      <c r="G261" s="36">
        <f t="shared" si="41"/>
        <v>111759.7</v>
      </c>
      <c r="H261" s="261">
        <f t="shared" si="41"/>
        <v>20634</v>
      </c>
      <c r="I261" s="36">
        <f t="shared" si="41"/>
        <v>100946.4</v>
      </c>
      <c r="J261" s="261">
        <f t="shared" si="41"/>
        <v>20634</v>
      </c>
      <c r="K261" s="297"/>
      <c r="L261" s="292"/>
    </row>
    <row r="262" spans="1:12" s="46" customFormat="1" ht="33" customHeight="1">
      <c r="A262" s="207" t="s">
        <v>236</v>
      </c>
      <c r="B262" s="15" t="s">
        <v>188</v>
      </c>
      <c r="C262" s="40" t="s">
        <v>182</v>
      </c>
      <c r="D262" s="21" t="s">
        <v>237</v>
      </c>
      <c r="E262" s="312"/>
      <c r="F262" s="31"/>
      <c r="G262" s="36">
        <f t="shared" si="41"/>
        <v>111759.7</v>
      </c>
      <c r="H262" s="261">
        <f t="shared" si="41"/>
        <v>20634</v>
      </c>
      <c r="I262" s="36">
        <f t="shared" si="41"/>
        <v>100946.4</v>
      </c>
      <c r="J262" s="261">
        <f t="shared" si="41"/>
        <v>20634</v>
      </c>
      <c r="K262" s="297"/>
      <c r="L262" s="292"/>
    </row>
    <row r="263" spans="1:12" s="46" customFormat="1" ht="15.75">
      <c r="A263" s="207" t="s">
        <v>205</v>
      </c>
      <c r="B263" s="15" t="s">
        <v>188</v>
      </c>
      <c r="C263" s="40" t="s">
        <v>182</v>
      </c>
      <c r="D263" s="21" t="s">
        <v>237</v>
      </c>
      <c r="E263" s="312" t="s">
        <v>66</v>
      </c>
      <c r="F263" s="31"/>
      <c r="G263" s="36">
        <f>'Прилож №5'!H176+'Прилож №5'!H180</f>
        <v>111759.7</v>
      </c>
      <c r="H263" s="261">
        <f>'Прилож №5'!I176+'Прилож №5'!I180</f>
        <v>20634</v>
      </c>
      <c r="I263" s="36">
        <f>'Прилож №5'!J176+'Прилож №5'!J180</f>
        <v>100946.4</v>
      </c>
      <c r="J263" s="261">
        <f>'Прилож №5'!K176+'Прилож №5'!K180</f>
        <v>20634</v>
      </c>
      <c r="K263" s="297"/>
      <c r="L263" s="292"/>
    </row>
    <row r="264" spans="1:12" s="46" customFormat="1" ht="15.75">
      <c r="A264" s="212" t="s">
        <v>41</v>
      </c>
      <c r="B264" s="40" t="s">
        <v>188</v>
      </c>
      <c r="C264" s="40" t="s">
        <v>182</v>
      </c>
      <c r="D264" s="17" t="s">
        <v>42</v>
      </c>
      <c r="E264" s="313"/>
      <c r="F264" s="29"/>
      <c r="G264" s="37">
        <f>G265</f>
        <v>182258.8</v>
      </c>
      <c r="H264" s="347">
        <f>H265</f>
        <v>78</v>
      </c>
      <c r="I264" s="37">
        <f>I265</f>
        <v>180971.9</v>
      </c>
      <c r="J264" s="347">
        <f>J265</f>
        <v>75.6</v>
      </c>
      <c r="K264" s="297"/>
      <c r="L264" s="292"/>
    </row>
    <row r="265" spans="1:12" s="46" customFormat="1" ht="15.75">
      <c r="A265" s="214" t="s">
        <v>27</v>
      </c>
      <c r="B265" s="40" t="s">
        <v>188</v>
      </c>
      <c r="C265" s="40" t="s">
        <v>182</v>
      </c>
      <c r="D265" s="17" t="s">
        <v>225</v>
      </c>
      <c r="E265" s="313"/>
      <c r="F265" s="29"/>
      <c r="G265" s="37">
        <f>G266+G267</f>
        <v>182258.8</v>
      </c>
      <c r="H265" s="347">
        <f>H266+H267</f>
        <v>78</v>
      </c>
      <c r="I265" s="37">
        <f>I266+I267</f>
        <v>180971.9</v>
      </c>
      <c r="J265" s="347">
        <f>J266+J267</f>
        <v>75.6</v>
      </c>
      <c r="K265" s="297"/>
      <c r="L265" s="292"/>
    </row>
    <row r="266" spans="1:12" s="46" customFormat="1" ht="15.75">
      <c r="A266" s="214" t="s">
        <v>168</v>
      </c>
      <c r="B266" s="40" t="s">
        <v>188</v>
      </c>
      <c r="C266" s="40" t="s">
        <v>182</v>
      </c>
      <c r="D266" s="17" t="s">
        <v>225</v>
      </c>
      <c r="E266" s="313" t="s">
        <v>84</v>
      </c>
      <c r="F266" s="29"/>
      <c r="G266" s="37">
        <f>'Прилож №5'!H314</f>
        <v>182180.8</v>
      </c>
      <c r="H266" s="347">
        <f>'Прилож №5'!I314</f>
        <v>0</v>
      </c>
      <c r="I266" s="37">
        <f>'Прилож №5'!J314</f>
        <v>180896.3</v>
      </c>
      <c r="J266" s="347">
        <f>'Прилож №5'!K314</f>
        <v>0</v>
      </c>
      <c r="K266" s="297"/>
      <c r="L266" s="292"/>
    </row>
    <row r="267" spans="1:12" s="46" customFormat="1" ht="15.75">
      <c r="A267" s="214" t="s">
        <v>168</v>
      </c>
      <c r="B267" s="40" t="s">
        <v>188</v>
      </c>
      <c r="C267" s="40" t="s">
        <v>182</v>
      </c>
      <c r="D267" s="17" t="s">
        <v>394</v>
      </c>
      <c r="E267" s="313" t="s">
        <v>84</v>
      </c>
      <c r="F267" s="29"/>
      <c r="G267" s="37">
        <f>'Прилож №5'!H315</f>
        <v>78</v>
      </c>
      <c r="H267" s="347">
        <f>'Прилож №5'!I315</f>
        <v>78</v>
      </c>
      <c r="I267" s="37">
        <f>'Прилож №5'!J315</f>
        <v>75.6</v>
      </c>
      <c r="J267" s="347">
        <f>'Прилож №5'!K315</f>
        <v>75.6</v>
      </c>
      <c r="K267" s="297"/>
      <c r="L267" s="292"/>
    </row>
    <row r="268" spans="1:12" s="46" customFormat="1" ht="15.75">
      <c r="A268" s="25" t="s">
        <v>311</v>
      </c>
      <c r="B268" s="40" t="s">
        <v>188</v>
      </c>
      <c r="C268" s="40" t="s">
        <v>182</v>
      </c>
      <c r="D268" s="17" t="s">
        <v>312</v>
      </c>
      <c r="E268" s="313"/>
      <c r="F268" s="29"/>
      <c r="G268" s="37">
        <f>G269</f>
        <v>23743.3</v>
      </c>
      <c r="H268" s="347">
        <f aca="true" t="shared" si="42" ref="H268:J269">H269</f>
        <v>0</v>
      </c>
      <c r="I268" s="37">
        <f t="shared" si="42"/>
        <v>21424.1</v>
      </c>
      <c r="J268" s="347">
        <f t="shared" si="42"/>
        <v>0</v>
      </c>
      <c r="K268" s="297"/>
      <c r="L268" s="292"/>
    </row>
    <row r="269" spans="1:12" s="46" customFormat="1" ht="15.75">
      <c r="A269" s="25" t="s">
        <v>27</v>
      </c>
      <c r="B269" s="40" t="s">
        <v>188</v>
      </c>
      <c r="C269" s="40" t="s">
        <v>182</v>
      </c>
      <c r="D269" s="17" t="s">
        <v>313</v>
      </c>
      <c r="E269" s="313"/>
      <c r="F269" s="29"/>
      <c r="G269" s="37">
        <f>G270</f>
        <v>23743.3</v>
      </c>
      <c r="H269" s="347">
        <f t="shared" si="42"/>
        <v>0</v>
      </c>
      <c r="I269" s="37">
        <f t="shared" si="42"/>
        <v>21424.1</v>
      </c>
      <c r="J269" s="347">
        <f t="shared" si="42"/>
        <v>0</v>
      </c>
      <c r="K269" s="297"/>
      <c r="L269" s="292"/>
    </row>
    <row r="270" spans="1:12" s="46" customFormat="1" ht="15.75">
      <c r="A270" s="25" t="s">
        <v>168</v>
      </c>
      <c r="B270" s="40" t="s">
        <v>188</v>
      </c>
      <c r="C270" s="40" t="s">
        <v>182</v>
      </c>
      <c r="D270" s="17" t="s">
        <v>313</v>
      </c>
      <c r="E270" s="313" t="s">
        <v>84</v>
      </c>
      <c r="F270" s="29"/>
      <c r="G270" s="37">
        <f>'Прилож №5'!H318</f>
        <v>23743.3</v>
      </c>
      <c r="H270" s="347">
        <f>'Прилож №5'!I318</f>
        <v>0</v>
      </c>
      <c r="I270" s="37">
        <f>'Прилож №5'!J318</f>
        <v>21424.1</v>
      </c>
      <c r="J270" s="347">
        <f>'Прилож №5'!K318</f>
        <v>0</v>
      </c>
      <c r="K270" s="297"/>
      <c r="L270" s="292"/>
    </row>
    <row r="271" spans="1:12" s="22" customFormat="1" ht="15.75">
      <c r="A271" s="104" t="s">
        <v>314</v>
      </c>
      <c r="B271" s="93" t="s">
        <v>188</v>
      </c>
      <c r="C271" s="93" t="s">
        <v>183</v>
      </c>
      <c r="D271" s="91"/>
      <c r="E271" s="315"/>
      <c r="F271" s="103"/>
      <c r="G271" s="75">
        <f>G272</f>
        <v>298953.4</v>
      </c>
      <c r="H271" s="348">
        <f aca="true" t="shared" si="43" ref="H271:J272">H272</f>
        <v>7219</v>
      </c>
      <c r="I271" s="75">
        <f t="shared" si="43"/>
        <v>272615.6</v>
      </c>
      <c r="J271" s="348">
        <f t="shared" si="43"/>
        <v>6645.5</v>
      </c>
      <c r="K271" s="298"/>
      <c r="L271" s="294"/>
    </row>
    <row r="272" spans="1:12" s="46" customFormat="1" ht="15.75">
      <c r="A272" s="25" t="s">
        <v>315</v>
      </c>
      <c r="B272" s="40" t="s">
        <v>188</v>
      </c>
      <c r="C272" s="40" t="s">
        <v>183</v>
      </c>
      <c r="D272" s="17" t="s">
        <v>316</v>
      </c>
      <c r="E272" s="313"/>
      <c r="F272" s="29"/>
      <c r="G272" s="37">
        <f>G273</f>
        <v>298953.4</v>
      </c>
      <c r="H272" s="347">
        <f t="shared" si="43"/>
        <v>7219</v>
      </c>
      <c r="I272" s="37">
        <f t="shared" si="43"/>
        <v>272615.6</v>
      </c>
      <c r="J272" s="37">
        <f t="shared" si="43"/>
        <v>6645.5</v>
      </c>
      <c r="K272" s="297"/>
      <c r="L272" s="292"/>
    </row>
    <row r="273" spans="1:12" s="46" customFormat="1" ht="15.75">
      <c r="A273" s="25" t="s">
        <v>27</v>
      </c>
      <c r="B273" s="40" t="s">
        <v>188</v>
      </c>
      <c r="C273" s="40" t="s">
        <v>183</v>
      </c>
      <c r="D273" s="17" t="s">
        <v>317</v>
      </c>
      <c r="E273" s="313"/>
      <c r="F273" s="29"/>
      <c r="G273" s="37">
        <f>G274+G275</f>
        <v>298953.4</v>
      </c>
      <c r="H273" s="347">
        <f>H274+H275</f>
        <v>7219</v>
      </c>
      <c r="I273" s="37">
        <f>I274+I275</f>
        <v>272615.6</v>
      </c>
      <c r="J273" s="37">
        <f>J274+J275</f>
        <v>6645.5</v>
      </c>
      <c r="K273" s="297"/>
      <c r="L273" s="292"/>
    </row>
    <row r="274" spans="1:12" s="46" customFormat="1" ht="15.75">
      <c r="A274" s="25" t="s">
        <v>168</v>
      </c>
      <c r="B274" s="40" t="s">
        <v>188</v>
      </c>
      <c r="C274" s="40" t="s">
        <v>183</v>
      </c>
      <c r="D274" s="17" t="s">
        <v>317</v>
      </c>
      <c r="E274" s="313" t="s">
        <v>84</v>
      </c>
      <c r="F274" s="29"/>
      <c r="G274" s="37">
        <f>'Прилож №5'!H322</f>
        <v>291734.4</v>
      </c>
      <c r="H274" s="347">
        <f>'Прилож №5'!I322</f>
        <v>0</v>
      </c>
      <c r="I274" s="37">
        <f>'Прилож №5'!J322</f>
        <v>265970.1</v>
      </c>
      <c r="J274" s="37">
        <f>'Прилож №5'!K322</f>
        <v>0</v>
      </c>
      <c r="K274" s="297"/>
      <c r="L274" s="292"/>
    </row>
    <row r="275" spans="1:12" s="46" customFormat="1" ht="15.75">
      <c r="A275" s="25" t="s">
        <v>168</v>
      </c>
      <c r="B275" s="40" t="s">
        <v>188</v>
      </c>
      <c r="C275" s="40" t="s">
        <v>183</v>
      </c>
      <c r="D275" s="17" t="s">
        <v>393</v>
      </c>
      <c r="E275" s="313" t="s">
        <v>84</v>
      </c>
      <c r="F275" s="29"/>
      <c r="G275" s="37">
        <f>'Прилож №5'!H323</f>
        <v>7219</v>
      </c>
      <c r="H275" s="37">
        <f>'Прилож №5'!I323</f>
        <v>7219</v>
      </c>
      <c r="I275" s="37">
        <f>'Прилож №5'!J323</f>
        <v>6645.5</v>
      </c>
      <c r="J275" s="37">
        <f>'Прилож №5'!K323</f>
        <v>6645.5</v>
      </c>
      <c r="K275" s="297"/>
      <c r="L275" s="292"/>
    </row>
    <row r="276" spans="1:12" s="22" customFormat="1" ht="15.75">
      <c r="A276" s="104" t="s">
        <v>318</v>
      </c>
      <c r="B276" s="93" t="s">
        <v>188</v>
      </c>
      <c r="C276" s="93" t="s">
        <v>187</v>
      </c>
      <c r="D276" s="91"/>
      <c r="E276" s="315"/>
      <c r="F276" s="103"/>
      <c r="G276" s="75">
        <f aca="true" t="shared" si="44" ref="G276:J278">G277</f>
        <v>5421.5</v>
      </c>
      <c r="H276" s="348">
        <f t="shared" si="44"/>
        <v>0</v>
      </c>
      <c r="I276" s="75">
        <f t="shared" si="44"/>
        <v>3982.7999999999997</v>
      </c>
      <c r="J276" s="348">
        <f t="shared" si="44"/>
        <v>0</v>
      </c>
      <c r="K276" s="298"/>
      <c r="L276" s="294"/>
    </row>
    <row r="277" spans="1:12" s="46" customFormat="1" ht="15.75">
      <c r="A277" s="24" t="s">
        <v>41</v>
      </c>
      <c r="B277" s="40" t="s">
        <v>188</v>
      </c>
      <c r="C277" s="40" t="s">
        <v>187</v>
      </c>
      <c r="D277" s="17" t="s">
        <v>42</v>
      </c>
      <c r="E277" s="313"/>
      <c r="F277" s="29"/>
      <c r="G277" s="37">
        <f t="shared" si="44"/>
        <v>5421.5</v>
      </c>
      <c r="H277" s="347">
        <f t="shared" si="44"/>
        <v>0</v>
      </c>
      <c r="I277" s="37">
        <f t="shared" si="44"/>
        <v>3982.7999999999997</v>
      </c>
      <c r="J277" s="347">
        <f t="shared" si="44"/>
        <v>0</v>
      </c>
      <c r="K277" s="297"/>
      <c r="L277" s="292"/>
    </row>
    <row r="278" spans="1:12" s="46" customFormat="1" ht="15.75">
      <c r="A278" s="25" t="s">
        <v>27</v>
      </c>
      <c r="B278" s="40" t="s">
        <v>188</v>
      </c>
      <c r="C278" s="40" t="s">
        <v>187</v>
      </c>
      <c r="D278" s="17" t="s">
        <v>225</v>
      </c>
      <c r="E278" s="313"/>
      <c r="F278" s="29"/>
      <c r="G278" s="37">
        <f t="shared" si="44"/>
        <v>5421.5</v>
      </c>
      <c r="H278" s="347">
        <f t="shared" si="44"/>
        <v>0</v>
      </c>
      <c r="I278" s="37">
        <f t="shared" si="44"/>
        <v>3982.7999999999997</v>
      </c>
      <c r="J278" s="347">
        <f t="shared" si="44"/>
        <v>0</v>
      </c>
      <c r="K278" s="297"/>
      <c r="L278" s="292"/>
    </row>
    <row r="279" spans="1:12" s="46" customFormat="1" ht="15.75">
      <c r="A279" s="25" t="s">
        <v>168</v>
      </c>
      <c r="B279" s="40" t="s">
        <v>188</v>
      </c>
      <c r="C279" s="40" t="s">
        <v>187</v>
      </c>
      <c r="D279" s="17" t="s">
        <v>225</v>
      </c>
      <c r="E279" s="313" t="s">
        <v>84</v>
      </c>
      <c r="F279" s="29"/>
      <c r="G279" s="37">
        <f>'Прилож №5'!H327</f>
        <v>5421.5</v>
      </c>
      <c r="H279" s="347">
        <f>'Прилож №5'!I327</f>
        <v>0</v>
      </c>
      <c r="I279" s="37">
        <f>'Прилож №5'!J327</f>
        <v>3982.7999999999997</v>
      </c>
      <c r="J279" s="347">
        <f>'Прилож №5'!K327</f>
        <v>0</v>
      </c>
      <c r="K279" s="297"/>
      <c r="L279" s="292"/>
    </row>
    <row r="280" spans="1:12" s="22" customFormat="1" ht="15.75">
      <c r="A280" s="104" t="s">
        <v>319</v>
      </c>
      <c r="B280" s="93" t="s">
        <v>188</v>
      </c>
      <c r="C280" s="93" t="s">
        <v>184</v>
      </c>
      <c r="D280" s="91"/>
      <c r="E280" s="315"/>
      <c r="F280" s="103"/>
      <c r="G280" s="75">
        <f>G281+G284</f>
        <v>43697.799999999996</v>
      </c>
      <c r="H280" s="348">
        <f>H281+H284</f>
        <v>2383</v>
      </c>
      <c r="I280" s="75">
        <f>I281+I284</f>
        <v>40571.2</v>
      </c>
      <c r="J280" s="348">
        <f>J281+J284</f>
        <v>1578.7</v>
      </c>
      <c r="K280" s="298"/>
      <c r="L280" s="294"/>
    </row>
    <row r="281" spans="1:12" s="46" customFormat="1" ht="15.75">
      <c r="A281" s="25" t="s">
        <v>320</v>
      </c>
      <c r="B281" s="40" t="s">
        <v>188</v>
      </c>
      <c r="C281" s="40" t="s">
        <v>184</v>
      </c>
      <c r="D281" s="17" t="s">
        <v>321</v>
      </c>
      <c r="E281" s="313"/>
      <c r="F281" s="29"/>
      <c r="G281" s="37">
        <f>G282</f>
        <v>40745.6</v>
      </c>
      <c r="H281" s="347">
        <f aca="true" t="shared" si="45" ref="H281:J282">H282</f>
        <v>0</v>
      </c>
      <c r="I281" s="37">
        <f t="shared" si="45"/>
        <v>38423.299999999996</v>
      </c>
      <c r="J281" s="347">
        <f t="shared" si="45"/>
        <v>0</v>
      </c>
      <c r="K281" s="297"/>
      <c r="L281" s="292"/>
    </row>
    <row r="282" spans="1:12" s="46" customFormat="1" ht="15.75">
      <c r="A282" s="25" t="s">
        <v>27</v>
      </c>
      <c r="B282" s="40" t="s">
        <v>188</v>
      </c>
      <c r="C282" s="40" t="s">
        <v>184</v>
      </c>
      <c r="D282" s="17" t="s">
        <v>322</v>
      </c>
      <c r="E282" s="313"/>
      <c r="F282" s="29"/>
      <c r="G282" s="37">
        <f>G283</f>
        <v>40745.6</v>
      </c>
      <c r="H282" s="347">
        <f t="shared" si="45"/>
        <v>0</v>
      </c>
      <c r="I282" s="37">
        <f t="shared" si="45"/>
        <v>38423.299999999996</v>
      </c>
      <c r="J282" s="347">
        <f t="shared" si="45"/>
        <v>0</v>
      </c>
      <c r="K282" s="297"/>
      <c r="L282" s="292"/>
    </row>
    <row r="283" spans="1:12" s="46" customFormat="1" ht="15.75">
      <c r="A283" s="25" t="s">
        <v>168</v>
      </c>
      <c r="B283" s="40" t="s">
        <v>188</v>
      </c>
      <c r="C283" s="40" t="s">
        <v>184</v>
      </c>
      <c r="D283" s="17" t="s">
        <v>322</v>
      </c>
      <c r="E283" s="313" t="s">
        <v>84</v>
      </c>
      <c r="F283" s="29"/>
      <c r="G283" s="37">
        <f>'Прилож №5'!H331</f>
        <v>40745.6</v>
      </c>
      <c r="H283" s="347">
        <f>'Прилож №5'!I331</f>
        <v>0</v>
      </c>
      <c r="I283" s="37">
        <f>'Прилож №5'!J331</f>
        <v>38423.299999999996</v>
      </c>
      <c r="J283" s="347">
        <f>'Прилож №5'!K331</f>
        <v>0</v>
      </c>
      <c r="K283" s="297"/>
      <c r="L283" s="292"/>
    </row>
    <row r="284" spans="1:12" s="46" customFormat="1" ht="15.75">
      <c r="A284" s="25" t="s">
        <v>122</v>
      </c>
      <c r="B284" s="40" t="s">
        <v>188</v>
      </c>
      <c r="C284" s="40" t="s">
        <v>184</v>
      </c>
      <c r="D284" s="17" t="s">
        <v>93</v>
      </c>
      <c r="E284" s="313"/>
      <c r="F284" s="29"/>
      <c r="G284" s="37">
        <f>G285</f>
        <v>2952.2</v>
      </c>
      <c r="H284" s="347">
        <f aca="true" t="shared" si="46" ref="H284:J285">H285</f>
        <v>2383</v>
      </c>
      <c r="I284" s="37">
        <f t="shared" si="46"/>
        <v>2147.9</v>
      </c>
      <c r="J284" s="347">
        <f t="shared" si="46"/>
        <v>1578.7</v>
      </c>
      <c r="K284" s="297"/>
      <c r="L284" s="292"/>
    </row>
    <row r="285" spans="1:12" s="46" customFormat="1" ht="39">
      <c r="A285" s="44" t="s">
        <v>323</v>
      </c>
      <c r="B285" s="40" t="s">
        <v>188</v>
      </c>
      <c r="C285" s="40" t="s">
        <v>184</v>
      </c>
      <c r="D285" s="17" t="s">
        <v>268</v>
      </c>
      <c r="E285" s="313"/>
      <c r="F285" s="29"/>
      <c r="G285" s="37">
        <f>G286</f>
        <v>2952.2</v>
      </c>
      <c r="H285" s="347">
        <f t="shared" si="46"/>
        <v>2383</v>
      </c>
      <c r="I285" s="37">
        <f t="shared" si="46"/>
        <v>2147.9</v>
      </c>
      <c r="J285" s="347">
        <f t="shared" si="46"/>
        <v>1578.7</v>
      </c>
      <c r="K285" s="297"/>
      <c r="L285" s="292"/>
    </row>
    <row r="286" spans="1:12" s="46" customFormat="1" ht="15.75">
      <c r="A286" s="25" t="s">
        <v>168</v>
      </c>
      <c r="B286" s="40" t="s">
        <v>188</v>
      </c>
      <c r="C286" s="40" t="s">
        <v>184</v>
      </c>
      <c r="D286" s="17" t="s">
        <v>268</v>
      </c>
      <c r="E286" s="313" t="s">
        <v>84</v>
      </c>
      <c r="F286" s="29"/>
      <c r="G286" s="37">
        <f>'Прилож №5'!H334</f>
        <v>2952.2</v>
      </c>
      <c r="H286" s="347">
        <f>'Прилож №5'!I334</f>
        <v>2383</v>
      </c>
      <c r="I286" s="37">
        <f>'Прилож №5'!J334</f>
        <v>2147.9</v>
      </c>
      <c r="J286" s="347">
        <f>'Прилож №5'!K334</f>
        <v>1578.7</v>
      </c>
      <c r="K286" s="297"/>
      <c r="L286" s="292"/>
    </row>
    <row r="287" spans="1:12" s="22" customFormat="1" ht="15.75">
      <c r="A287" s="209" t="s">
        <v>226</v>
      </c>
      <c r="B287" s="93" t="s">
        <v>188</v>
      </c>
      <c r="C287" s="94" t="s">
        <v>191</v>
      </c>
      <c r="D287" s="91"/>
      <c r="E287" s="315"/>
      <c r="F287" s="103"/>
      <c r="G287" s="75">
        <f>G292+G288+G298+G295</f>
        <v>31489.800000000003</v>
      </c>
      <c r="H287" s="348">
        <f>H292+H288+H298+H295</f>
        <v>0</v>
      </c>
      <c r="I287" s="75">
        <f>I292+I288+I298+I295</f>
        <v>10014.900000000001</v>
      </c>
      <c r="J287" s="348">
        <f>J292+J288+J298+J295</f>
        <v>0</v>
      </c>
      <c r="K287" s="298"/>
      <c r="L287" s="294"/>
    </row>
    <row r="288" spans="1:12" s="46" customFormat="1" ht="30">
      <c r="A288" s="207" t="s">
        <v>202</v>
      </c>
      <c r="B288" s="15" t="s">
        <v>188</v>
      </c>
      <c r="C288" s="40" t="s">
        <v>191</v>
      </c>
      <c r="D288" s="21" t="s">
        <v>69</v>
      </c>
      <c r="E288" s="312"/>
      <c r="F288" s="29"/>
      <c r="G288" s="37">
        <f aca="true" t="shared" si="47" ref="G288:J290">G289</f>
        <v>20000</v>
      </c>
      <c r="H288" s="347">
        <f t="shared" si="47"/>
        <v>0</v>
      </c>
      <c r="I288" s="37">
        <f t="shared" si="47"/>
        <v>0</v>
      </c>
      <c r="J288" s="347">
        <f t="shared" si="47"/>
        <v>0</v>
      </c>
      <c r="K288" s="297"/>
      <c r="L288" s="292"/>
    </row>
    <row r="289" spans="1:12" s="46" customFormat="1" ht="36.75" customHeight="1">
      <c r="A289" s="207" t="s">
        <v>264</v>
      </c>
      <c r="B289" s="15" t="s">
        <v>188</v>
      </c>
      <c r="C289" s="40" t="s">
        <v>191</v>
      </c>
      <c r="D289" s="21" t="s">
        <v>204</v>
      </c>
      <c r="E289" s="312"/>
      <c r="F289" s="29"/>
      <c r="G289" s="37">
        <f t="shared" si="47"/>
        <v>20000</v>
      </c>
      <c r="H289" s="347">
        <f t="shared" si="47"/>
        <v>0</v>
      </c>
      <c r="I289" s="37">
        <f t="shared" si="47"/>
        <v>0</v>
      </c>
      <c r="J289" s="347">
        <f t="shared" si="47"/>
        <v>0</v>
      </c>
      <c r="K289" s="297"/>
      <c r="L289" s="292"/>
    </row>
    <row r="290" spans="1:12" s="46" customFormat="1" ht="32.25" customHeight="1">
      <c r="A290" s="207" t="s">
        <v>236</v>
      </c>
      <c r="B290" s="15" t="s">
        <v>188</v>
      </c>
      <c r="C290" s="40" t="s">
        <v>191</v>
      </c>
      <c r="D290" s="21" t="s">
        <v>237</v>
      </c>
      <c r="E290" s="312"/>
      <c r="F290" s="29"/>
      <c r="G290" s="37">
        <f t="shared" si="47"/>
        <v>20000</v>
      </c>
      <c r="H290" s="347">
        <f t="shared" si="47"/>
        <v>0</v>
      </c>
      <c r="I290" s="37">
        <f t="shared" si="47"/>
        <v>0</v>
      </c>
      <c r="J290" s="347">
        <f t="shared" si="47"/>
        <v>0</v>
      </c>
      <c r="K290" s="297"/>
      <c r="L290" s="292"/>
    </row>
    <row r="291" spans="1:12" s="46" customFormat="1" ht="15.75">
      <c r="A291" s="207" t="s">
        <v>205</v>
      </c>
      <c r="B291" s="15" t="s">
        <v>188</v>
      </c>
      <c r="C291" s="40" t="s">
        <v>191</v>
      </c>
      <c r="D291" s="21" t="s">
        <v>237</v>
      </c>
      <c r="E291" s="312" t="s">
        <v>66</v>
      </c>
      <c r="F291" s="29"/>
      <c r="G291" s="37">
        <f>'Прилож №5'!H185</f>
        <v>20000</v>
      </c>
      <c r="H291" s="347">
        <f>'Прилож №5'!I185</f>
        <v>0</v>
      </c>
      <c r="I291" s="37">
        <f>'Прилож №5'!J185</f>
        <v>0</v>
      </c>
      <c r="J291" s="347">
        <f>'Прилож №5'!K185</f>
        <v>0</v>
      </c>
      <c r="K291" s="297"/>
      <c r="L291" s="292"/>
    </row>
    <row r="292" spans="1:12" s="46" customFormat="1" ht="15.75">
      <c r="A292" s="212" t="s">
        <v>76</v>
      </c>
      <c r="B292" s="40" t="s">
        <v>188</v>
      </c>
      <c r="C292" s="41" t="s">
        <v>191</v>
      </c>
      <c r="D292" s="19" t="s">
        <v>77</v>
      </c>
      <c r="E292" s="314"/>
      <c r="F292" s="29"/>
      <c r="G292" s="37">
        <f>G293</f>
        <v>8875.7</v>
      </c>
      <c r="H292" s="347">
        <f aca="true" t="shared" si="48" ref="H292:J293">H293</f>
        <v>0</v>
      </c>
      <c r="I292" s="37">
        <f t="shared" si="48"/>
        <v>8129.5</v>
      </c>
      <c r="J292" s="347">
        <f t="shared" si="48"/>
        <v>0</v>
      </c>
      <c r="K292" s="297"/>
      <c r="L292" s="292"/>
    </row>
    <row r="293" spans="1:12" s="46" customFormat="1" ht="15.75">
      <c r="A293" s="214" t="s">
        <v>27</v>
      </c>
      <c r="B293" s="40" t="s">
        <v>188</v>
      </c>
      <c r="C293" s="41" t="s">
        <v>191</v>
      </c>
      <c r="D293" s="19" t="s">
        <v>227</v>
      </c>
      <c r="E293" s="314"/>
      <c r="F293" s="29"/>
      <c r="G293" s="37">
        <f>G294</f>
        <v>8875.7</v>
      </c>
      <c r="H293" s="347">
        <f t="shared" si="48"/>
        <v>0</v>
      </c>
      <c r="I293" s="37">
        <f t="shared" si="48"/>
        <v>8129.5</v>
      </c>
      <c r="J293" s="347">
        <f t="shared" si="48"/>
        <v>0</v>
      </c>
      <c r="K293" s="297"/>
      <c r="L293" s="292"/>
    </row>
    <row r="294" spans="1:12" s="46" customFormat="1" ht="15.75">
      <c r="A294" s="214" t="s">
        <v>168</v>
      </c>
      <c r="B294" s="40" t="s">
        <v>188</v>
      </c>
      <c r="C294" s="41" t="s">
        <v>191</v>
      </c>
      <c r="D294" s="19" t="s">
        <v>227</v>
      </c>
      <c r="E294" s="314" t="s">
        <v>84</v>
      </c>
      <c r="F294" s="29"/>
      <c r="G294" s="37">
        <f>'Прилож №5'!H393</f>
        <v>8875.7</v>
      </c>
      <c r="H294" s="347">
        <f>'Прилож №5'!I393</f>
        <v>0</v>
      </c>
      <c r="I294" s="37">
        <f>'Прилож №5'!J393</f>
        <v>8129.5</v>
      </c>
      <c r="J294" s="347">
        <f>'Прилож №5'!K393</f>
        <v>0</v>
      </c>
      <c r="K294" s="297"/>
      <c r="L294" s="292"/>
    </row>
    <row r="295" spans="1:12" s="46" customFormat="1" ht="15.75">
      <c r="A295" s="218" t="s">
        <v>388</v>
      </c>
      <c r="B295" s="278" t="s">
        <v>188</v>
      </c>
      <c r="C295" s="340" t="s">
        <v>191</v>
      </c>
      <c r="D295" s="279" t="s">
        <v>389</v>
      </c>
      <c r="E295" s="341"/>
      <c r="F295" s="29"/>
      <c r="G295" s="37">
        <f>G296</f>
        <v>580.2</v>
      </c>
      <c r="H295" s="347">
        <f aca="true" t="shared" si="49" ref="H295:J296">H296</f>
        <v>0</v>
      </c>
      <c r="I295" s="37">
        <f t="shared" si="49"/>
        <v>184.7</v>
      </c>
      <c r="J295" s="347">
        <f t="shared" si="49"/>
        <v>0</v>
      </c>
      <c r="K295" s="297"/>
      <c r="L295" s="292"/>
    </row>
    <row r="296" spans="1:12" s="46" customFormat="1" ht="15.75">
      <c r="A296" s="218" t="s">
        <v>390</v>
      </c>
      <c r="B296" s="278" t="s">
        <v>188</v>
      </c>
      <c r="C296" s="340" t="s">
        <v>191</v>
      </c>
      <c r="D296" s="279" t="s">
        <v>391</v>
      </c>
      <c r="E296" s="342"/>
      <c r="F296" s="29"/>
      <c r="G296" s="37">
        <f>G297</f>
        <v>580.2</v>
      </c>
      <c r="H296" s="347">
        <f t="shared" si="49"/>
        <v>0</v>
      </c>
      <c r="I296" s="37">
        <f t="shared" si="49"/>
        <v>184.7</v>
      </c>
      <c r="J296" s="347">
        <f t="shared" si="49"/>
        <v>0</v>
      </c>
      <c r="K296" s="297"/>
      <c r="L296" s="292"/>
    </row>
    <row r="297" spans="1:12" s="46" customFormat="1" ht="15.75">
      <c r="A297" s="219" t="s">
        <v>168</v>
      </c>
      <c r="B297" s="278" t="s">
        <v>188</v>
      </c>
      <c r="C297" s="340" t="s">
        <v>191</v>
      </c>
      <c r="D297" s="280" t="s">
        <v>391</v>
      </c>
      <c r="E297" s="341" t="s">
        <v>84</v>
      </c>
      <c r="F297" s="29"/>
      <c r="G297" s="37">
        <f>'Прилож №5'!H390</f>
        <v>580.2</v>
      </c>
      <c r="H297" s="347">
        <f>'Прилож №5'!I390</f>
        <v>0</v>
      </c>
      <c r="I297" s="37">
        <f>'Прилож №5'!J390</f>
        <v>184.7</v>
      </c>
      <c r="J297" s="347">
        <f>'Прилож №5'!K390</f>
        <v>0</v>
      </c>
      <c r="K297" s="297"/>
      <c r="L297" s="292"/>
    </row>
    <row r="298" spans="1:12" s="46" customFormat="1" ht="15.75">
      <c r="A298" s="212" t="s">
        <v>127</v>
      </c>
      <c r="B298" s="40" t="s">
        <v>188</v>
      </c>
      <c r="C298" s="41" t="s">
        <v>191</v>
      </c>
      <c r="D298" s="19" t="s">
        <v>128</v>
      </c>
      <c r="E298" s="314"/>
      <c r="F298" s="29"/>
      <c r="G298" s="37">
        <f>G299</f>
        <v>2033.9</v>
      </c>
      <c r="H298" s="347">
        <f aca="true" t="shared" si="50" ref="H298:J299">H299</f>
        <v>0</v>
      </c>
      <c r="I298" s="37">
        <f t="shared" si="50"/>
        <v>1700.7</v>
      </c>
      <c r="J298" s="347">
        <f t="shared" si="50"/>
        <v>0</v>
      </c>
      <c r="K298" s="297"/>
      <c r="L298" s="292"/>
    </row>
    <row r="299" spans="1:12" s="46" customFormat="1" ht="30">
      <c r="A299" s="213" t="s">
        <v>342</v>
      </c>
      <c r="B299" s="40" t="s">
        <v>188</v>
      </c>
      <c r="C299" s="41" t="s">
        <v>191</v>
      </c>
      <c r="D299" s="19" t="s">
        <v>250</v>
      </c>
      <c r="E299" s="314"/>
      <c r="F299" s="29"/>
      <c r="G299" s="37">
        <f>G300</f>
        <v>2033.9</v>
      </c>
      <c r="H299" s="347">
        <f t="shared" si="50"/>
        <v>0</v>
      </c>
      <c r="I299" s="37">
        <f t="shared" si="50"/>
        <v>1700.7</v>
      </c>
      <c r="J299" s="347">
        <f t="shared" si="50"/>
        <v>0</v>
      </c>
      <c r="K299" s="297"/>
      <c r="L299" s="292"/>
    </row>
    <row r="300" spans="1:12" s="46" customFormat="1" ht="15.75">
      <c r="A300" s="215" t="s">
        <v>142</v>
      </c>
      <c r="B300" s="40" t="s">
        <v>188</v>
      </c>
      <c r="C300" s="41" t="s">
        <v>191</v>
      </c>
      <c r="D300" s="19" t="s">
        <v>250</v>
      </c>
      <c r="E300" s="314" t="s">
        <v>266</v>
      </c>
      <c r="F300" s="29"/>
      <c r="G300" s="37">
        <f>'Прилож №5'!H396</f>
        <v>2033.9</v>
      </c>
      <c r="H300" s="347">
        <f>'Прилож №5'!I396</f>
        <v>0</v>
      </c>
      <c r="I300" s="37">
        <f>'Прилож №5'!J396</f>
        <v>1700.7</v>
      </c>
      <c r="J300" s="347">
        <f>'Прилож №5'!K396</f>
        <v>0</v>
      </c>
      <c r="K300" s="297"/>
      <c r="L300" s="292"/>
    </row>
    <row r="301" spans="1:12" s="46" customFormat="1" ht="29.25">
      <c r="A301" s="208" t="s">
        <v>228</v>
      </c>
      <c r="B301" s="40" t="s">
        <v>188</v>
      </c>
      <c r="C301" s="94" t="s">
        <v>189</v>
      </c>
      <c r="D301" s="92"/>
      <c r="E301" s="343"/>
      <c r="F301" s="103"/>
      <c r="G301" s="75">
        <f>G302+G305</f>
        <v>10110.5</v>
      </c>
      <c r="H301" s="348">
        <f>H302+H305</f>
        <v>0</v>
      </c>
      <c r="I301" s="75">
        <f>I302+I305</f>
        <v>9983.8</v>
      </c>
      <c r="J301" s="348">
        <f>J302+J305</f>
        <v>0</v>
      </c>
      <c r="K301" s="297"/>
      <c r="L301" s="292"/>
    </row>
    <row r="302" spans="1:12" s="46" customFormat="1" ht="18" customHeight="1">
      <c r="A302" s="213" t="s">
        <v>143</v>
      </c>
      <c r="B302" s="41" t="s">
        <v>188</v>
      </c>
      <c r="C302" s="41" t="s">
        <v>189</v>
      </c>
      <c r="D302" s="17" t="s">
        <v>265</v>
      </c>
      <c r="E302" s="313"/>
      <c r="F302" s="29"/>
      <c r="G302" s="37">
        <f aca="true" t="shared" si="51" ref="G302:J303">G303</f>
        <v>9425.1</v>
      </c>
      <c r="H302" s="347">
        <f t="shared" si="51"/>
        <v>0</v>
      </c>
      <c r="I302" s="37">
        <f t="shared" si="51"/>
        <v>9299.9</v>
      </c>
      <c r="J302" s="347">
        <f t="shared" si="51"/>
        <v>0</v>
      </c>
      <c r="K302" s="297"/>
      <c r="L302" s="292"/>
    </row>
    <row r="303" spans="1:12" s="46" customFormat="1" ht="15.75">
      <c r="A303" s="215" t="s">
        <v>50</v>
      </c>
      <c r="B303" s="41" t="s">
        <v>188</v>
      </c>
      <c r="C303" s="41" t="s">
        <v>189</v>
      </c>
      <c r="D303" s="17" t="s">
        <v>267</v>
      </c>
      <c r="E303" s="313"/>
      <c r="F303" s="29"/>
      <c r="G303" s="37">
        <f t="shared" si="51"/>
        <v>9425.1</v>
      </c>
      <c r="H303" s="347">
        <f t="shared" si="51"/>
        <v>0</v>
      </c>
      <c r="I303" s="37">
        <f t="shared" si="51"/>
        <v>9299.9</v>
      </c>
      <c r="J303" s="347">
        <f t="shared" si="51"/>
        <v>0</v>
      </c>
      <c r="K303" s="297"/>
      <c r="L303" s="292"/>
    </row>
    <row r="304" spans="1:12" s="46" customFormat="1" ht="15.75">
      <c r="A304" s="216" t="s">
        <v>142</v>
      </c>
      <c r="B304" s="42" t="s">
        <v>188</v>
      </c>
      <c r="C304" s="42" t="s">
        <v>189</v>
      </c>
      <c r="D304" s="19" t="s">
        <v>267</v>
      </c>
      <c r="E304" s="314" t="s">
        <v>266</v>
      </c>
      <c r="F304" s="30"/>
      <c r="G304" s="35">
        <f>'Прилож №5'!H400</f>
        <v>9425.1</v>
      </c>
      <c r="H304" s="349">
        <f>'Прилож №5'!I400</f>
        <v>0</v>
      </c>
      <c r="I304" s="35">
        <f>'Прилож №5'!J400</f>
        <v>9299.9</v>
      </c>
      <c r="J304" s="349">
        <f>'Прилож №5'!K400</f>
        <v>0</v>
      </c>
      <c r="K304" s="297"/>
      <c r="L304" s="292"/>
    </row>
    <row r="305" spans="1:12" s="46" customFormat="1" ht="15.75">
      <c r="A305" s="24" t="s">
        <v>127</v>
      </c>
      <c r="B305" s="42" t="s">
        <v>188</v>
      </c>
      <c r="C305" s="42" t="s">
        <v>189</v>
      </c>
      <c r="D305" s="17" t="s">
        <v>128</v>
      </c>
      <c r="E305" s="313"/>
      <c r="F305" s="29"/>
      <c r="G305" s="37">
        <f>G308+G306</f>
        <v>685.3999999999999</v>
      </c>
      <c r="H305" s="347">
        <f>H308+H306</f>
        <v>0</v>
      </c>
      <c r="I305" s="37">
        <f>I308+I306</f>
        <v>683.9000000000001</v>
      </c>
      <c r="J305" s="347">
        <f>J308+J306</f>
        <v>0</v>
      </c>
      <c r="K305" s="297"/>
      <c r="L305" s="292"/>
    </row>
    <row r="306" spans="1:12" s="46" customFormat="1" ht="39">
      <c r="A306" s="45" t="s">
        <v>335</v>
      </c>
      <c r="B306" s="42" t="s">
        <v>188</v>
      </c>
      <c r="C306" s="42" t="s">
        <v>189</v>
      </c>
      <c r="D306" s="17" t="s">
        <v>336</v>
      </c>
      <c r="E306" s="313"/>
      <c r="F306" s="29"/>
      <c r="G306" s="37">
        <f>G307</f>
        <v>671.2</v>
      </c>
      <c r="H306" s="347">
        <f>H307</f>
        <v>0</v>
      </c>
      <c r="I306" s="37">
        <f>I307</f>
        <v>671.2</v>
      </c>
      <c r="J306" s="347">
        <f>J307</f>
        <v>0</v>
      </c>
      <c r="K306" s="297"/>
      <c r="L306" s="292"/>
    </row>
    <row r="307" spans="1:12" s="46" customFormat="1" ht="15.75">
      <c r="A307" s="32" t="s">
        <v>142</v>
      </c>
      <c r="B307" s="42" t="s">
        <v>188</v>
      </c>
      <c r="C307" s="42" t="s">
        <v>189</v>
      </c>
      <c r="D307" s="17" t="s">
        <v>336</v>
      </c>
      <c r="E307" s="313" t="s">
        <v>266</v>
      </c>
      <c r="F307" s="29"/>
      <c r="G307" s="37">
        <f>'Прилож №5'!H338</f>
        <v>671.2</v>
      </c>
      <c r="H307" s="347">
        <f>'Прилож №5'!I338</f>
        <v>0</v>
      </c>
      <c r="I307" s="37">
        <f>'Прилож №5'!J338</f>
        <v>671.2</v>
      </c>
      <c r="J307" s="347">
        <f>'Прилож №5'!K338</f>
        <v>0</v>
      </c>
      <c r="K307" s="297"/>
      <c r="L307" s="292"/>
    </row>
    <row r="308" spans="1:12" s="46" customFormat="1" ht="39">
      <c r="A308" s="45" t="s">
        <v>332</v>
      </c>
      <c r="B308" s="42" t="s">
        <v>188</v>
      </c>
      <c r="C308" s="42" t="s">
        <v>189</v>
      </c>
      <c r="D308" s="17" t="s">
        <v>333</v>
      </c>
      <c r="E308" s="313"/>
      <c r="F308" s="101"/>
      <c r="G308" s="37">
        <f>G309</f>
        <v>14.199999999999818</v>
      </c>
      <c r="H308" s="347">
        <f>H309</f>
        <v>0</v>
      </c>
      <c r="I308" s="37">
        <f>I309</f>
        <v>12.7</v>
      </c>
      <c r="J308" s="347">
        <f>J309</f>
        <v>0</v>
      </c>
      <c r="K308" s="297"/>
      <c r="L308" s="292"/>
    </row>
    <row r="309" spans="1:12" s="46" customFormat="1" ht="16.5" thickBot="1">
      <c r="A309" s="24" t="s">
        <v>142</v>
      </c>
      <c r="B309" s="42" t="s">
        <v>188</v>
      </c>
      <c r="C309" s="42" t="s">
        <v>189</v>
      </c>
      <c r="D309" s="19" t="s">
        <v>333</v>
      </c>
      <c r="E309" s="314" t="s">
        <v>266</v>
      </c>
      <c r="F309" s="191"/>
      <c r="G309" s="35">
        <f>'Прилож №5'!H340</f>
        <v>14.199999999999818</v>
      </c>
      <c r="H309" s="349">
        <f>'Прилож №5'!I340</f>
        <v>0</v>
      </c>
      <c r="I309" s="35">
        <f>'Прилож №5'!J340</f>
        <v>12.7</v>
      </c>
      <c r="J309" s="349">
        <f>'Прилож №5'!K340</f>
        <v>0</v>
      </c>
      <c r="K309" s="299"/>
      <c r="L309" s="300"/>
    </row>
    <row r="310" spans="1:12" s="46" customFormat="1" ht="16.5" thickBot="1">
      <c r="A310" s="210" t="s">
        <v>5</v>
      </c>
      <c r="B310" s="141" t="s">
        <v>189</v>
      </c>
      <c r="C310" s="141" t="s">
        <v>123</v>
      </c>
      <c r="D310" s="186"/>
      <c r="E310" s="344"/>
      <c r="F310" s="220" t="s">
        <v>266</v>
      </c>
      <c r="G310" s="38">
        <f>G311+G315+G346+G342</f>
        <v>84700.90000000001</v>
      </c>
      <c r="H310" s="346">
        <f>H311+H315+H346+H342</f>
        <v>62945.5</v>
      </c>
      <c r="I310" s="38">
        <f>I311+I315+I346+I342</f>
        <v>64183.9</v>
      </c>
      <c r="J310" s="346">
        <f>J311+J315+J346+J342</f>
        <v>53072.5</v>
      </c>
      <c r="K310" s="244">
        <f>I310/G310*100</f>
        <v>75.7771168901393</v>
      </c>
      <c r="L310" s="38">
        <f>J310/H310*100</f>
        <v>84.31500266103217</v>
      </c>
    </row>
    <row r="311" spans="1:12" s="46" customFormat="1" ht="15.75">
      <c r="A311" s="133" t="s">
        <v>46</v>
      </c>
      <c r="B311" s="156" t="s">
        <v>189</v>
      </c>
      <c r="C311" s="31" t="s">
        <v>182</v>
      </c>
      <c r="D311" s="33"/>
      <c r="E311" s="345"/>
      <c r="F311" s="31"/>
      <c r="G311" s="79">
        <f aca="true" t="shared" si="52" ref="G311:J313">G312</f>
        <v>750</v>
      </c>
      <c r="H311" s="328">
        <f t="shared" si="52"/>
        <v>0</v>
      </c>
      <c r="I311" s="79">
        <f t="shared" si="52"/>
        <v>748.3</v>
      </c>
      <c r="J311" s="328">
        <f t="shared" si="52"/>
        <v>0</v>
      </c>
      <c r="K311" s="296"/>
      <c r="L311" s="296"/>
    </row>
    <row r="312" spans="1:12" s="46" customFormat="1" ht="15.75">
      <c r="A312" s="212" t="s">
        <v>229</v>
      </c>
      <c r="B312" s="17" t="s">
        <v>189</v>
      </c>
      <c r="C312" s="29" t="s">
        <v>182</v>
      </c>
      <c r="D312" s="17" t="s">
        <v>230</v>
      </c>
      <c r="E312" s="314"/>
      <c r="F312" s="29"/>
      <c r="G312" s="37">
        <f t="shared" si="52"/>
        <v>750</v>
      </c>
      <c r="H312" s="347">
        <f t="shared" si="52"/>
        <v>0</v>
      </c>
      <c r="I312" s="37">
        <f t="shared" si="52"/>
        <v>748.3</v>
      </c>
      <c r="J312" s="347">
        <f t="shared" si="52"/>
        <v>0</v>
      </c>
      <c r="K312" s="297"/>
      <c r="L312" s="297"/>
    </row>
    <row r="313" spans="1:12" s="46" customFormat="1" ht="30">
      <c r="A313" s="213" t="s">
        <v>112</v>
      </c>
      <c r="B313" s="17" t="s">
        <v>189</v>
      </c>
      <c r="C313" s="29" t="s">
        <v>182</v>
      </c>
      <c r="D313" s="17" t="s">
        <v>231</v>
      </c>
      <c r="E313" s="314"/>
      <c r="F313" s="29"/>
      <c r="G313" s="37">
        <f t="shared" si="52"/>
        <v>750</v>
      </c>
      <c r="H313" s="347">
        <f t="shared" si="52"/>
        <v>0</v>
      </c>
      <c r="I313" s="37">
        <f t="shared" si="52"/>
        <v>748.3</v>
      </c>
      <c r="J313" s="347">
        <f t="shared" si="52"/>
        <v>0</v>
      </c>
      <c r="K313" s="297"/>
      <c r="L313" s="297"/>
    </row>
    <row r="314" spans="1:12" s="46" customFormat="1" ht="15.75">
      <c r="A314" s="213" t="s">
        <v>164</v>
      </c>
      <c r="B314" s="17" t="s">
        <v>189</v>
      </c>
      <c r="C314" s="29" t="s">
        <v>182</v>
      </c>
      <c r="D314" s="17" t="s">
        <v>231</v>
      </c>
      <c r="E314" s="314" t="s">
        <v>51</v>
      </c>
      <c r="F314" s="29"/>
      <c r="G314" s="37">
        <f>'Прилож №5'!H190</f>
        <v>750</v>
      </c>
      <c r="H314" s="347">
        <f>'Прилож №5'!I190</f>
        <v>0</v>
      </c>
      <c r="I314" s="37">
        <f>'Прилож №5'!J190</f>
        <v>748.3</v>
      </c>
      <c r="J314" s="347">
        <f>'Прилож №5'!K190</f>
        <v>0</v>
      </c>
      <c r="K314" s="297"/>
      <c r="L314" s="297"/>
    </row>
    <row r="315" spans="1:12" s="46" customFormat="1" ht="15.75">
      <c r="A315" s="209" t="s">
        <v>94</v>
      </c>
      <c r="B315" s="91" t="s">
        <v>189</v>
      </c>
      <c r="C315" s="103" t="s">
        <v>187</v>
      </c>
      <c r="D315" s="91"/>
      <c r="E315" s="315"/>
      <c r="F315" s="253"/>
      <c r="G315" s="75">
        <f>G319+G337+G316+G332</f>
        <v>69442.6</v>
      </c>
      <c r="H315" s="348">
        <f>H319+H337+H316+H332</f>
        <v>53616</v>
      </c>
      <c r="I315" s="75">
        <f>I319+I337+I316+I332</f>
        <v>55775.299999999996</v>
      </c>
      <c r="J315" s="348">
        <f>J319+J337+J316+J332</f>
        <v>48481.3</v>
      </c>
      <c r="K315" s="297"/>
      <c r="L315" s="297"/>
    </row>
    <row r="316" spans="1:12" s="46" customFormat="1" ht="15.75">
      <c r="A316" s="213" t="s">
        <v>367</v>
      </c>
      <c r="B316" s="17" t="s">
        <v>189</v>
      </c>
      <c r="C316" s="29" t="s">
        <v>187</v>
      </c>
      <c r="D316" s="17" t="s">
        <v>368</v>
      </c>
      <c r="E316" s="313"/>
      <c r="F316" s="253"/>
      <c r="G316" s="37">
        <f>G317</f>
        <v>2867.8</v>
      </c>
      <c r="H316" s="347">
        <f aca="true" t="shared" si="53" ref="H316:J317">H317</f>
        <v>0</v>
      </c>
      <c r="I316" s="37">
        <f t="shared" si="53"/>
        <v>1224.3</v>
      </c>
      <c r="J316" s="347">
        <f t="shared" si="53"/>
        <v>0</v>
      </c>
      <c r="K316" s="297"/>
      <c r="L316" s="297"/>
    </row>
    <row r="317" spans="1:12" s="46" customFormat="1" ht="15.75">
      <c r="A317" s="212" t="s">
        <v>369</v>
      </c>
      <c r="B317" s="17" t="s">
        <v>189</v>
      </c>
      <c r="C317" s="29" t="s">
        <v>187</v>
      </c>
      <c r="D317" s="17" t="s">
        <v>370</v>
      </c>
      <c r="E317" s="313"/>
      <c r="F317" s="253"/>
      <c r="G317" s="37">
        <f>G318</f>
        <v>2867.8</v>
      </c>
      <c r="H317" s="347">
        <f t="shared" si="53"/>
        <v>0</v>
      </c>
      <c r="I317" s="37">
        <f t="shared" si="53"/>
        <v>1224.3</v>
      </c>
      <c r="J317" s="347">
        <f t="shared" si="53"/>
        <v>0</v>
      </c>
      <c r="K317" s="297"/>
      <c r="L317" s="297"/>
    </row>
    <row r="318" spans="1:12" s="46" customFormat="1" ht="15.75">
      <c r="A318" s="212" t="s">
        <v>164</v>
      </c>
      <c r="B318" s="17" t="s">
        <v>189</v>
      </c>
      <c r="C318" s="29" t="s">
        <v>187</v>
      </c>
      <c r="D318" s="17" t="s">
        <v>370</v>
      </c>
      <c r="E318" s="313" t="s">
        <v>51</v>
      </c>
      <c r="F318" s="253"/>
      <c r="G318" s="37">
        <f>'Прилож №5'!H194</f>
        <v>2867.8</v>
      </c>
      <c r="H318" s="347">
        <f>'Прилож №5'!I194</f>
        <v>0</v>
      </c>
      <c r="I318" s="37">
        <f>'Прилож №5'!J194</f>
        <v>1224.3</v>
      </c>
      <c r="J318" s="347">
        <f>'Прилож №5'!K194</f>
        <v>0</v>
      </c>
      <c r="K318" s="297"/>
      <c r="L318" s="297"/>
    </row>
    <row r="319" spans="1:12" s="46" customFormat="1" ht="15.75">
      <c r="A319" s="212" t="s">
        <v>232</v>
      </c>
      <c r="B319" s="17" t="s">
        <v>189</v>
      </c>
      <c r="C319" s="29" t="s">
        <v>187</v>
      </c>
      <c r="D319" s="17" t="s">
        <v>88</v>
      </c>
      <c r="E319" s="313"/>
      <c r="F319" s="98"/>
      <c r="G319" s="37">
        <f>G320+G323+G325+G327+G329+G331</f>
        <v>63436.5</v>
      </c>
      <c r="H319" s="37">
        <f>H320+H323+H325+H327+H329+H331</f>
        <v>52594</v>
      </c>
      <c r="I319" s="37">
        <f>I320+I323+I325+I327+I329+I331</f>
        <v>53891.799999999996</v>
      </c>
      <c r="J319" s="37">
        <f>J320+J323+J325+J327+J329+J331</f>
        <v>48481.3</v>
      </c>
      <c r="K319" s="297"/>
      <c r="L319" s="297"/>
    </row>
    <row r="320" spans="1:12" s="46" customFormat="1" ht="15.75">
      <c r="A320" s="24" t="s">
        <v>233</v>
      </c>
      <c r="B320" s="17" t="s">
        <v>189</v>
      </c>
      <c r="C320" s="29" t="s">
        <v>187</v>
      </c>
      <c r="D320" s="17" t="s">
        <v>435</v>
      </c>
      <c r="E320" s="313"/>
      <c r="F320" s="98">
        <v>483</v>
      </c>
      <c r="G320" s="37">
        <f>G321</f>
        <v>2634.2</v>
      </c>
      <c r="H320" s="347">
        <f aca="true" t="shared" si="54" ref="H320:J321">H321</f>
        <v>0</v>
      </c>
      <c r="I320" s="37">
        <f t="shared" si="54"/>
        <v>2106.2</v>
      </c>
      <c r="J320" s="347">
        <f t="shared" si="54"/>
        <v>0</v>
      </c>
      <c r="K320" s="297"/>
      <c r="L320" s="297"/>
    </row>
    <row r="321" spans="1:12" s="46" customFormat="1" ht="26.25">
      <c r="A321" s="97" t="s">
        <v>234</v>
      </c>
      <c r="B321" s="17" t="s">
        <v>189</v>
      </c>
      <c r="C321" s="29" t="s">
        <v>187</v>
      </c>
      <c r="D321" s="17" t="s">
        <v>435</v>
      </c>
      <c r="E321" s="313"/>
      <c r="F321" s="98"/>
      <c r="G321" s="37">
        <f>G322</f>
        <v>2634.2</v>
      </c>
      <c r="H321" s="347">
        <f t="shared" si="54"/>
        <v>0</v>
      </c>
      <c r="I321" s="37">
        <f t="shared" si="54"/>
        <v>2106.2</v>
      </c>
      <c r="J321" s="347">
        <f t="shared" si="54"/>
        <v>0</v>
      </c>
      <c r="K321" s="297"/>
      <c r="L321" s="297"/>
    </row>
    <row r="322" spans="1:12" s="46" customFormat="1" ht="15.75">
      <c r="A322" s="45" t="s">
        <v>252</v>
      </c>
      <c r="B322" s="17" t="s">
        <v>189</v>
      </c>
      <c r="C322" s="29" t="s">
        <v>187</v>
      </c>
      <c r="D322" s="17" t="s">
        <v>435</v>
      </c>
      <c r="E322" s="313" t="s">
        <v>51</v>
      </c>
      <c r="F322" s="98"/>
      <c r="G322" s="37">
        <f>'Прилож №5'!H203+'Прилож №5'!H271</f>
        <v>2634.2</v>
      </c>
      <c r="H322" s="37">
        <f>'Прилож №5'!I203+'Прилож №5'!I271</f>
        <v>0</v>
      </c>
      <c r="I322" s="37">
        <f>'Прилож №5'!J203+'Прилож №5'!J271</f>
        <v>2106.2</v>
      </c>
      <c r="J322" s="347">
        <f>'Прилож №5'!K203</f>
        <v>0</v>
      </c>
      <c r="K322" s="297"/>
      <c r="L322" s="297"/>
    </row>
    <row r="323" spans="1:12" s="46" customFormat="1" ht="30">
      <c r="A323" s="213" t="s">
        <v>140</v>
      </c>
      <c r="B323" s="17" t="s">
        <v>189</v>
      </c>
      <c r="C323" s="29" t="s">
        <v>187</v>
      </c>
      <c r="D323" s="17" t="s">
        <v>235</v>
      </c>
      <c r="E323" s="313"/>
      <c r="F323" s="98"/>
      <c r="G323" s="37">
        <f>G324</f>
        <v>50036.3</v>
      </c>
      <c r="H323" s="347">
        <f>H324</f>
        <v>46732</v>
      </c>
      <c r="I323" s="37">
        <f>I324</f>
        <v>48693.2</v>
      </c>
      <c r="J323" s="347">
        <f>J324</f>
        <v>45388.9</v>
      </c>
      <c r="K323" s="297"/>
      <c r="L323" s="297"/>
    </row>
    <row r="324" spans="1:12" s="46" customFormat="1" ht="13.5" customHeight="1">
      <c r="A324" s="213" t="s">
        <v>164</v>
      </c>
      <c r="B324" s="17" t="s">
        <v>189</v>
      </c>
      <c r="C324" s="29" t="s">
        <v>187</v>
      </c>
      <c r="D324" s="17" t="s">
        <v>235</v>
      </c>
      <c r="E324" s="313" t="s">
        <v>51</v>
      </c>
      <c r="F324" s="98">
        <v>572</v>
      </c>
      <c r="G324" s="37">
        <f>'Прилож №5'!H205</f>
        <v>50036.3</v>
      </c>
      <c r="H324" s="347">
        <f>'Прилож №5'!I205</f>
        <v>46732</v>
      </c>
      <c r="I324" s="37">
        <f>'Прилож №5'!J205</f>
        <v>48693.2</v>
      </c>
      <c r="J324" s="347">
        <f>'Прилож №5'!K205</f>
        <v>45388.9</v>
      </c>
      <c r="K324" s="297"/>
      <c r="L324" s="297"/>
    </row>
    <row r="325" spans="1:12" s="46" customFormat="1" ht="42" customHeight="1">
      <c r="A325" s="45" t="s">
        <v>381</v>
      </c>
      <c r="B325" s="17" t="s">
        <v>189</v>
      </c>
      <c r="C325" s="29" t="s">
        <v>187</v>
      </c>
      <c r="D325" s="17" t="s">
        <v>382</v>
      </c>
      <c r="E325" s="312"/>
      <c r="F325" s="171"/>
      <c r="G325" s="36">
        <f>G326</f>
        <v>4904</v>
      </c>
      <c r="H325" s="261">
        <f>H326</f>
        <v>0</v>
      </c>
      <c r="I325" s="36">
        <f>I326</f>
        <v>0</v>
      </c>
      <c r="J325" s="261">
        <f>J326</f>
        <v>0</v>
      </c>
      <c r="K325" s="297"/>
      <c r="L325" s="297"/>
    </row>
    <row r="326" spans="1:12" s="46" customFormat="1" ht="13.5" customHeight="1">
      <c r="A326" s="24" t="s">
        <v>164</v>
      </c>
      <c r="B326" s="17" t="s">
        <v>189</v>
      </c>
      <c r="C326" s="29" t="s">
        <v>187</v>
      </c>
      <c r="D326" s="17" t="s">
        <v>382</v>
      </c>
      <c r="E326" s="313" t="s">
        <v>51</v>
      </c>
      <c r="F326" s="98"/>
      <c r="G326" s="37">
        <f>'Прилож №5'!H424</f>
        <v>4904</v>
      </c>
      <c r="H326" s="347">
        <f>'Прилож №5'!I424</f>
        <v>0</v>
      </c>
      <c r="I326" s="37">
        <f>'Прилож №5'!J424</f>
        <v>0</v>
      </c>
      <c r="J326" s="347">
        <f>'Прилож №5'!K424</f>
        <v>0</v>
      </c>
      <c r="K326" s="297"/>
      <c r="L326" s="297"/>
    </row>
    <row r="327" spans="1:12" s="46" customFormat="1" ht="48" customHeight="1">
      <c r="A327" s="193" t="s">
        <v>426</v>
      </c>
      <c r="B327" s="14" t="s">
        <v>189</v>
      </c>
      <c r="C327" s="9" t="s">
        <v>187</v>
      </c>
      <c r="D327" s="14" t="s">
        <v>427</v>
      </c>
      <c r="E327" s="339"/>
      <c r="F327" s="281"/>
      <c r="G327" s="39">
        <f>'Прилож №5'!H425</f>
        <v>3093</v>
      </c>
      <c r="H327" s="329">
        <f>'Прилож №5'!I425</f>
        <v>3093</v>
      </c>
      <c r="I327" s="39">
        <f>'Прилож №5'!J425</f>
        <v>3092.4</v>
      </c>
      <c r="J327" s="329">
        <f>'Прилож №5'!K425</f>
        <v>3092.4</v>
      </c>
      <c r="K327" s="297"/>
      <c r="L327" s="297"/>
    </row>
    <row r="328" spans="1:12" s="46" customFormat="1" ht="13.5" customHeight="1">
      <c r="A328" s="24" t="s">
        <v>164</v>
      </c>
      <c r="B328" s="19" t="s">
        <v>189</v>
      </c>
      <c r="C328" s="29" t="s">
        <v>187</v>
      </c>
      <c r="D328" s="17" t="s">
        <v>428</v>
      </c>
      <c r="E328" s="313" t="s">
        <v>51</v>
      </c>
      <c r="F328" s="98"/>
      <c r="G328" s="37">
        <f>'Прилож №5'!H426</f>
        <v>3093</v>
      </c>
      <c r="H328" s="347">
        <f>'Прилож №5'!I426</f>
        <v>3093</v>
      </c>
      <c r="I328" s="37">
        <f>'Прилож №5'!J426</f>
        <v>3092.4</v>
      </c>
      <c r="J328" s="347">
        <f>'Прилож №5'!K426</f>
        <v>3092.4</v>
      </c>
      <c r="K328" s="297"/>
      <c r="L328" s="297"/>
    </row>
    <row r="329" spans="1:12" s="46" customFormat="1" ht="41.25" customHeight="1">
      <c r="A329" s="338" t="s">
        <v>430</v>
      </c>
      <c r="B329" s="21" t="s">
        <v>189</v>
      </c>
      <c r="C329" s="28" t="s">
        <v>187</v>
      </c>
      <c r="D329" s="21" t="s">
        <v>431</v>
      </c>
      <c r="E329" s="312" t="s">
        <v>51</v>
      </c>
      <c r="F329" s="171"/>
      <c r="G329" s="36">
        <f>'Прилож №5'!H427</f>
        <v>0</v>
      </c>
      <c r="H329" s="261">
        <f>'Прилож №5'!I427</f>
        <v>0</v>
      </c>
      <c r="I329" s="36">
        <f>'Прилож №5'!J427</f>
        <v>0</v>
      </c>
      <c r="J329" s="261">
        <f>'Прилож №5'!K427</f>
        <v>0</v>
      </c>
      <c r="K329" s="296"/>
      <c r="L329" s="296"/>
    </row>
    <row r="330" spans="1:12" s="46" customFormat="1" ht="30" customHeight="1">
      <c r="A330" s="97" t="s">
        <v>450</v>
      </c>
      <c r="B330" s="17" t="s">
        <v>189</v>
      </c>
      <c r="C330" s="29" t="s">
        <v>187</v>
      </c>
      <c r="D330" s="17" t="s">
        <v>449</v>
      </c>
      <c r="E330" s="7"/>
      <c r="F330" s="47"/>
      <c r="G330" s="37">
        <f>G331</f>
        <v>2769</v>
      </c>
      <c r="H330" s="37">
        <f>H331</f>
        <v>2769</v>
      </c>
      <c r="I330" s="37"/>
      <c r="J330" s="347"/>
      <c r="K330" s="297"/>
      <c r="L330" s="297"/>
    </row>
    <row r="331" spans="1:12" s="46" customFormat="1" ht="18" customHeight="1">
      <c r="A331" s="97" t="s">
        <v>448</v>
      </c>
      <c r="B331" s="17" t="s">
        <v>189</v>
      </c>
      <c r="C331" s="29" t="s">
        <v>187</v>
      </c>
      <c r="D331" s="17" t="s">
        <v>447</v>
      </c>
      <c r="E331" s="7" t="s">
        <v>66</v>
      </c>
      <c r="F331" s="47" t="s">
        <v>66</v>
      </c>
      <c r="G331" s="37">
        <f>'Прилож №5'!H429</f>
        <v>2769</v>
      </c>
      <c r="H331" s="347">
        <v>2769</v>
      </c>
      <c r="I331" s="37"/>
      <c r="J331" s="347"/>
      <c r="K331" s="297"/>
      <c r="L331" s="297"/>
    </row>
    <row r="332" spans="1:12" s="46" customFormat="1" ht="13.5" customHeight="1">
      <c r="A332" s="207" t="s">
        <v>373</v>
      </c>
      <c r="B332" s="21" t="s">
        <v>189</v>
      </c>
      <c r="C332" s="28" t="s">
        <v>187</v>
      </c>
      <c r="D332" s="21" t="s">
        <v>374</v>
      </c>
      <c r="E332" s="312"/>
      <c r="F332" s="171"/>
      <c r="G332" s="36">
        <f>G334+G333</f>
        <v>1430.5</v>
      </c>
      <c r="H332" s="261">
        <f>H334+H333</f>
        <v>1022</v>
      </c>
      <c r="I332" s="36">
        <f>I334+I333</f>
        <v>329.6</v>
      </c>
      <c r="J332" s="261">
        <f>J334+J333</f>
        <v>0</v>
      </c>
      <c r="K332" s="297"/>
      <c r="L332" s="297"/>
    </row>
    <row r="333" spans="1:12" s="46" customFormat="1" ht="13.5" customHeight="1">
      <c r="A333" s="207" t="s">
        <v>437</v>
      </c>
      <c r="B333" s="17" t="s">
        <v>189</v>
      </c>
      <c r="C333" s="28" t="s">
        <v>187</v>
      </c>
      <c r="D333" s="21" t="s">
        <v>438</v>
      </c>
      <c r="E333" s="312" t="s">
        <v>51</v>
      </c>
      <c r="F333" s="171"/>
      <c r="G333" s="36">
        <f>'Прилож №5'!H196</f>
        <v>217</v>
      </c>
      <c r="H333" s="261">
        <f>'Прилож №5'!I196</f>
        <v>217</v>
      </c>
      <c r="I333" s="36">
        <f>'Прилож №5'!J196</f>
        <v>0</v>
      </c>
      <c r="J333" s="261">
        <f>'Прилож №5'!K196</f>
        <v>0</v>
      </c>
      <c r="K333" s="297"/>
      <c r="L333" s="297"/>
    </row>
    <row r="334" spans="1:12" s="46" customFormat="1" ht="13.5" customHeight="1">
      <c r="A334" s="207" t="s">
        <v>375</v>
      </c>
      <c r="B334" s="17" t="s">
        <v>189</v>
      </c>
      <c r="C334" s="28" t="s">
        <v>187</v>
      </c>
      <c r="D334" s="21" t="s">
        <v>376</v>
      </c>
      <c r="E334" s="312"/>
      <c r="F334" s="171"/>
      <c r="G334" s="36">
        <f>G335</f>
        <v>1213.5</v>
      </c>
      <c r="H334" s="261">
        <f aca="true" t="shared" si="55" ref="H334:J335">H335</f>
        <v>805</v>
      </c>
      <c r="I334" s="36">
        <f t="shared" si="55"/>
        <v>329.6</v>
      </c>
      <c r="J334" s="261">
        <f t="shared" si="55"/>
        <v>0</v>
      </c>
      <c r="K334" s="297"/>
      <c r="L334" s="297"/>
    </row>
    <row r="335" spans="1:12" s="46" customFormat="1" ht="13.5" customHeight="1">
      <c r="A335" s="207" t="s">
        <v>369</v>
      </c>
      <c r="B335" s="17" t="s">
        <v>189</v>
      </c>
      <c r="C335" s="28" t="s">
        <v>187</v>
      </c>
      <c r="D335" s="21" t="s">
        <v>377</v>
      </c>
      <c r="E335" s="312"/>
      <c r="F335" s="171"/>
      <c r="G335" s="36">
        <f>G336</f>
        <v>1213.5</v>
      </c>
      <c r="H335" s="261">
        <f t="shared" si="55"/>
        <v>805</v>
      </c>
      <c r="I335" s="36">
        <f t="shared" si="55"/>
        <v>329.6</v>
      </c>
      <c r="J335" s="261">
        <f t="shared" si="55"/>
        <v>0</v>
      </c>
      <c r="K335" s="297"/>
      <c r="L335" s="297"/>
    </row>
    <row r="336" spans="1:12" s="46" customFormat="1" ht="13.5" customHeight="1">
      <c r="A336" s="207" t="s">
        <v>371</v>
      </c>
      <c r="B336" s="17" t="s">
        <v>189</v>
      </c>
      <c r="C336" s="28" t="s">
        <v>187</v>
      </c>
      <c r="D336" s="21" t="s">
        <v>377</v>
      </c>
      <c r="E336" s="312" t="s">
        <v>372</v>
      </c>
      <c r="F336" s="171"/>
      <c r="G336" s="36">
        <f>'Прилож №5'!H199</f>
        <v>1213.5</v>
      </c>
      <c r="H336" s="261">
        <f>'Прилож №5'!I199</f>
        <v>805</v>
      </c>
      <c r="I336" s="36">
        <f>'Прилож №5'!J199</f>
        <v>329.6</v>
      </c>
      <c r="J336" s="261">
        <f>'Прилож №5'!K199</f>
        <v>0</v>
      </c>
      <c r="K336" s="297"/>
      <c r="L336" s="297"/>
    </row>
    <row r="337" spans="1:12" s="46" customFormat="1" ht="15" customHeight="1">
      <c r="A337" s="212" t="s">
        <v>127</v>
      </c>
      <c r="B337" s="17" t="s">
        <v>189</v>
      </c>
      <c r="C337" s="28" t="s">
        <v>187</v>
      </c>
      <c r="D337" s="21" t="s">
        <v>128</v>
      </c>
      <c r="E337" s="312"/>
      <c r="F337" s="171"/>
      <c r="G337" s="36">
        <f>G338+G340</f>
        <v>1707.8</v>
      </c>
      <c r="H337" s="261">
        <f>H338+H340</f>
        <v>0</v>
      </c>
      <c r="I337" s="36">
        <f>I338+I340</f>
        <v>329.6</v>
      </c>
      <c r="J337" s="261">
        <f>J338+J340</f>
        <v>0</v>
      </c>
      <c r="K337" s="297"/>
      <c r="L337" s="297"/>
    </row>
    <row r="338" spans="1:12" s="46" customFormat="1" ht="27" customHeight="1">
      <c r="A338" s="213" t="s">
        <v>349</v>
      </c>
      <c r="B338" s="17" t="s">
        <v>189</v>
      </c>
      <c r="C338" s="28" t="s">
        <v>187</v>
      </c>
      <c r="D338" s="21" t="s">
        <v>240</v>
      </c>
      <c r="E338" s="312"/>
      <c r="F338" s="171"/>
      <c r="G338" s="36">
        <f>G339</f>
        <v>1324</v>
      </c>
      <c r="H338" s="261">
        <f>H339</f>
        <v>0</v>
      </c>
      <c r="I338" s="36">
        <f>I339</f>
        <v>329.6</v>
      </c>
      <c r="J338" s="261">
        <f>J339</f>
        <v>0</v>
      </c>
      <c r="K338" s="297"/>
      <c r="L338" s="297"/>
    </row>
    <row r="339" spans="1:12" s="46" customFormat="1" ht="15" customHeight="1">
      <c r="A339" s="215" t="s">
        <v>142</v>
      </c>
      <c r="B339" s="17" t="s">
        <v>189</v>
      </c>
      <c r="C339" s="28" t="s">
        <v>187</v>
      </c>
      <c r="D339" s="21" t="s">
        <v>240</v>
      </c>
      <c r="E339" s="312" t="s">
        <v>266</v>
      </c>
      <c r="F339" s="171"/>
      <c r="G339" s="36">
        <f>'Прилож №5'!H208</f>
        <v>1324</v>
      </c>
      <c r="H339" s="261">
        <f>'Прилож №5'!I208</f>
        <v>0</v>
      </c>
      <c r="I339" s="36">
        <f>'Прилож №5'!J208</f>
        <v>329.6</v>
      </c>
      <c r="J339" s="261">
        <f>'Прилож №5'!K208</f>
        <v>0</v>
      </c>
      <c r="K339" s="297"/>
      <c r="L339" s="297"/>
    </row>
    <row r="340" spans="1:12" s="46" customFormat="1" ht="31.5" customHeight="1">
      <c r="A340" s="213" t="s">
        <v>441</v>
      </c>
      <c r="B340" s="17" t="s">
        <v>189</v>
      </c>
      <c r="C340" s="28" t="s">
        <v>187</v>
      </c>
      <c r="D340" s="21" t="s">
        <v>282</v>
      </c>
      <c r="E340" s="312"/>
      <c r="F340" s="171"/>
      <c r="G340" s="36">
        <f>G341</f>
        <v>383.8</v>
      </c>
      <c r="H340" s="261">
        <f>H341</f>
        <v>0</v>
      </c>
      <c r="I340" s="36">
        <f>I341</f>
        <v>0</v>
      </c>
      <c r="J340" s="261">
        <f>J341</f>
        <v>0</v>
      </c>
      <c r="K340" s="297"/>
      <c r="L340" s="297"/>
    </row>
    <row r="341" spans="1:12" s="46" customFormat="1" ht="15" customHeight="1">
      <c r="A341" s="215" t="s">
        <v>142</v>
      </c>
      <c r="B341" s="17" t="s">
        <v>189</v>
      </c>
      <c r="C341" s="28" t="s">
        <v>187</v>
      </c>
      <c r="D341" s="21" t="s">
        <v>282</v>
      </c>
      <c r="E341" s="312" t="s">
        <v>266</v>
      </c>
      <c r="F341" s="171"/>
      <c r="G341" s="36">
        <f>'Прилож №5'!H210</f>
        <v>383.8</v>
      </c>
      <c r="H341" s="261">
        <f>'Прилож №5'!I210</f>
        <v>0</v>
      </c>
      <c r="I341" s="36">
        <f>'Прилож №5'!J210</f>
        <v>0</v>
      </c>
      <c r="J341" s="261">
        <f>'Прилож №5'!K210</f>
        <v>0</v>
      </c>
      <c r="K341" s="297"/>
      <c r="L341" s="297"/>
    </row>
    <row r="342" spans="1:12" s="46" customFormat="1" ht="15" customHeight="1">
      <c r="A342" s="24" t="s">
        <v>310</v>
      </c>
      <c r="B342" s="17" t="s">
        <v>189</v>
      </c>
      <c r="C342" s="28" t="s">
        <v>184</v>
      </c>
      <c r="D342" s="21"/>
      <c r="E342" s="312"/>
      <c r="F342" s="171"/>
      <c r="G342" s="37">
        <f aca="true" t="shared" si="56" ref="G342:J344">G343</f>
        <v>9878.3</v>
      </c>
      <c r="H342" s="347">
        <f t="shared" si="56"/>
        <v>9329.5</v>
      </c>
      <c r="I342" s="37">
        <f t="shared" si="56"/>
        <v>5140</v>
      </c>
      <c r="J342" s="347">
        <f t="shared" si="56"/>
        <v>4591.2</v>
      </c>
      <c r="K342" s="297"/>
      <c r="L342" s="297"/>
    </row>
    <row r="343" spans="1:12" s="46" customFormat="1" ht="15" customHeight="1">
      <c r="A343" s="26" t="s">
        <v>122</v>
      </c>
      <c r="B343" s="17" t="s">
        <v>189</v>
      </c>
      <c r="C343" s="28" t="s">
        <v>184</v>
      </c>
      <c r="D343" s="21" t="s">
        <v>93</v>
      </c>
      <c r="E343" s="312"/>
      <c r="F343" s="171"/>
      <c r="G343" s="37">
        <f t="shared" si="56"/>
        <v>9878.3</v>
      </c>
      <c r="H343" s="347">
        <f t="shared" si="56"/>
        <v>9329.5</v>
      </c>
      <c r="I343" s="37">
        <f t="shared" si="56"/>
        <v>5140</v>
      </c>
      <c r="J343" s="347">
        <f t="shared" si="56"/>
        <v>4591.2</v>
      </c>
      <c r="K343" s="297"/>
      <c r="L343" s="297"/>
    </row>
    <row r="344" spans="1:12" s="46" customFormat="1" ht="60" customHeight="1">
      <c r="A344" s="34" t="s">
        <v>270</v>
      </c>
      <c r="B344" s="17" t="s">
        <v>189</v>
      </c>
      <c r="C344" s="28" t="s">
        <v>184</v>
      </c>
      <c r="D344" s="21" t="s">
        <v>269</v>
      </c>
      <c r="E344" s="312"/>
      <c r="F344" s="171"/>
      <c r="G344" s="37">
        <f t="shared" si="56"/>
        <v>9878.3</v>
      </c>
      <c r="H344" s="347">
        <f t="shared" si="56"/>
        <v>9329.5</v>
      </c>
      <c r="I344" s="37">
        <f t="shared" si="56"/>
        <v>5140</v>
      </c>
      <c r="J344" s="347">
        <f t="shared" si="56"/>
        <v>4591.2</v>
      </c>
      <c r="K344" s="297"/>
      <c r="L344" s="297"/>
    </row>
    <row r="345" spans="1:12" s="46" customFormat="1" ht="15" customHeight="1">
      <c r="A345" s="25" t="s">
        <v>164</v>
      </c>
      <c r="B345" s="17" t="s">
        <v>189</v>
      </c>
      <c r="C345" s="28" t="s">
        <v>184</v>
      </c>
      <c r="D345" s="21" t="s">
        <v>269</v>
      </c>
      <c r="E345" s="312" t="s">
        <v>51</v>
      </c>
      <c r="F345" s="171"/>
      <c r="G345" s="37">
        <f>'Прилож №5'!H275</f>
        <v>9878.3</v>
      </c>
      <c r="H345" s="347">
        <f>'Прилож №5'!I275</f>
        <v>9329.5</v>
      </c>
      <c r="I345" s="37">
        <f>'Прилож №5'!J275</f>
        <v>5140</v>
      </c>
      <c r="J345" s="347">
        <f>'Прилож №5'!K275</f>
        <v>4591.2</v>
      </c>
      <c r="K345" s="297"/>
      <c r="L345" s="297"/>
    </row>
    <row r="346" spans="1:12" s="46" customFormat="1" ht="15.75">
      <c r="A346" s="209" t="s">
        <v>126</v>
      </c>
      <c r="B346" s="91" t="s">
        <v>189</v>
      </c>
      <c r="C346" s="103" t="s">
        <v>201</v>
      </c>
      <c r="D346" s="91"/>
      <c r="E346" s="315"/>
      <c r="F346" s="103"/>
      <c r="G346" s="75">
        <f aca="true" t="shared" si="57" ref="G346:J348">G347</f>
        <v>4630</v>
      </c>
      <c r="H346" s="348">
        <f t="shared" si="57"/>
        <v>0</v>
      </c>
      <c r="I346" s="75">
        <f t="shared" si="57"/>
        <v>2520.3</v>
      </c>
      <c r="J346" s="348">
        <f t="shared" si="57"/>
        <v>0</v>
      </c>
      <c r="K346" s="297"/>
      <c r="L346" s="297"/>
    </row>
    <row r="347" spans="1:12" s="46" customFormat="1" ht="15.75">
      <c r="A347" s="212" t="s">
        <v>127</v>
      </c>
      <c r="B347" s="17" t="s">
        <v>189</v>
      </c>
      <c r="C347" s="29" t="s">
        <v>201</v>
      </c>
      <c r="D347" s="17" t="s">
        <v>128</v>
      </c>
      <c r="E347" s="313"/>
      <c r="F347" s="29"/>
      <c r="G347" s="37">
        <f t="shared" si="57"/>
        <v>4630</v>
      </c>
      <c r="H347" s="347">
        <f t="shared" si="57"/>
        <v>0</v>
      </c>
      <c r="I347" s="37">
        <f t="shared" si="57"/>
        <v>2520.3</v>
      </c>
      <c r="J347" s="347">
        <f t="shared" si="57"/>
        <v>0</v>
      </c>
      <c r="K347" s="297"/>
      <c r="L347" s="297"/>
    </row>
    <row r="348" spans="1:12" s="46" customFormat="1" ht="30" customHeight="1">
      <c r="A348" s="213" t="s">
        <v>238</v>
      </c>
      <c r="B348" s="17" t="s">
        <v>189</v>
      </c>
      <c r="C348" s="29" t="s">
        <v>201</v>
      </c>
      <c r="D348" s="17" t="s">
        <v>239</v>
      </c>
      <c r="E348" s="313"/>
      <c r="F348" s="29"/>
      <c r="G348" s="37">
        <f>G349</f>
        <v>4630</v>
      </c>
      <c r="H348" s="347">
        <f t="shared" si="57"/>
        <v>0</v>
      </c>
      <c r="I348" s="37">
        <f t="shared" si="57"/>
        <v>2520.3</v>
      </c>
      <c r="J348" s="347">
        <f t="shared" si="57"/>
        <v>0</v>
      </c>
      <c r="K348" s="297"/>
      <c r="L348" s="297"/>
    </row>
    <row r="349" spans="1:12" s="46" customFormat="1" ht="16.5" thickBot="1">
      <c r="A349" s="214" t="s">
        <v>142</v>
      </c>
      <c r="B349" s="19" t="s">
        <v>189</v>
      </c>
      <c r="C349" s="30" t="s">
        <v>201</v>
      </c>
      <c r="D349" s="19" t="s">
        <v>239</v>
      </c>
      <c r="E349" s="314" t="s">
        <v>266</v>
      </c>
      <c r="F349" s="30"/>
      <c r="G349" s="35">
        <f>'Прилож №5'!H214+'Прилож №5'!H347</f>
        <v>4630</v>
      </c>
      <c r="H349" s="349">
        <f>'Прилож №5'!I214+'Прилож №5'!I347</f>
        <v>0</v>
      </c>
      <c r="I349" s="35">
        <f>'Прилож №5'!J214+'Прилож №5'!J347</f>
        <v>2520.3</v>
      </c>
      <c r="J349" s="349">
        <f>'Прилож №5'!K214+'Прилож №5'!K347</f>
        <v>0</v>
      </c>
      <c r="K349" s="299"/>
      <c r="L349" s="299"/>
    </row>
    <row r="350" spans="1:12" s="46" customFormat="1" ht="16.5" thickBot="1">
      <c r="A350" s="210" t="s">
        <v>72</v>
      </c>
      <c r="B350" s="18"/>
      <c r="C350" s="143"/>
      <c r="D350" s="18"/>
      <c r="E350" s="155"/>
      <c r="F350" s="143"/>
      <c r="G350" s="38">
        <f>G11+G53+G58+G90+G113+G165+G173+G229+G258+G310</f>
        <v>2091294</v>
      </c>
      <c r="H350" s="346">
        <f>H11+H53+H58+H90+H113+H165+H173+H229+H258+H310</f>
        <v>422310.3</v>
      </c>
      <c r="I350" s="38">
        <f>I11+I53+I58+I90+I113+I165+I173+I229+I258+I310</f>
        <v>1878717</v>
      </c>
      <c r="J350" s="346">
        <f>J11+J53+J58+J90+J113+J165+J173+J229+J258+J310</f>
        <v>403264.1</v>
      </c>
      <c r="K350" s="244">
        <f>I350/G350*100</f>
        <v>89.83514513023994</v>
      </c>
      <c r="L350" s="38">
        <f>J350/H350*100</f>
        <v>95.48999870474388</v>
      </c>
    </row>
  </sheetData>
  <mergeCells count="5">
    <mergeCell ref="I3:L3"/>
    <mergeCell ref="A6:K6"/>
    <mergeCell ref="A7:K7"/>
    <mergeCell ref="I9:I10"/>
    <mergeCell ref="K9:K10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4"/>
  <sheetViews>
    <sheetView tabSelected="1" workbookViewId="0" topLeftCell="A1">
      <selection activeCell="K4" sqref="K4"/>
    </sheetView>
  </sheetViews>
  <sheetFormatPr defaultColWidth="8.796875" defaultRowHeight="15"/>
  <cols>
    <col min="1" max="1" width="54.09765625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5.59765625" style="49" customWidth="1"/>
    <col min="8" max="8" width="11.19921875" style="2" customWidth="1"/>
    <col min="9" max="9" width="13" style="2" customWidth="1"/>
    <col min="10" max="10" width="11.8984375" style="245" customWidth="1"/>
    <col min="11" max="11" width="9" style="245" customWidth="1"/>
    <col min="12" max="12" width="12" style="245" customWidth="1"/>
    <col min="13" max="13" width="9.59765625" style="245" customWidth="1"/>
  </cols>
  <sheetData>
    <row r="1" spans="9:13" ht="15.75">
      <c r="I1" s="122"/>
      <c r="K1" s="357" t="s">
        <v>455</v>
      </c>
      <c r="L1" s="357"/>
      <c r="M1" s="357"/>
    </row>
    <row r="2" spans="9:13" ht="15.75">
      <c r="I2" s="80"/>
      <c r="K2" s="357" t="s">
        <v>452</v>
      </c>
      <c r="L2" s="357"/>
      <c r="M2" s="357"/>
    </row>
    <row r="3" spans="9:13" ht="15.75">
      <c r="I3" s="122"/>
      <c r="K3" s="357" t="s">
        <v>461</v>
      </c>
      <c r="L3" s="357"/>
      <c r="M3" s="357"/>
    </row>
    <row r="4" spans="8:9" ht="15.75">
      <c r="H4" s="121"/>
      <c r="I4" s="80"/>
    </row>
    <row r="5" ht="15.75">
      <c r="I5" s="80"/>
    </row>
    <row r="6" spans="1:9" ht="15.75">
      <c r="A6" s="3"/>
      <c r="B6" s="4"/>
      <c r="C6" s="4"/>
      <c r="D6" s="4"/>
      <c r="E6" s="4"/>
      <c r="F6" s="4"/>
      <c r="I6" s="122"/>
    </row>
    <row r="7" spans="1:9" ht="22.5" customHeight="1">
      <c r="A7" s="353" t="s">
        <v>451</v>
      </c>
      <c r="B7" s="353"/>
      <c r="C7" s="353"/>
      <c r="D7" s="353"/>
      <c r="E7" s="353"/>
      <c r="F7" s="353"/>
      <c r="G7" s="353"/>
      <c r="H7" s="353"/>
      <c r="I7" s="353"/>
    </row>
    <row r="8" spans="1:11" ht="16.5" thickBot="1">
      <c r="A8" s="2"/>
      <c r="B8" s="4"/>
      <c r="C8" s="4"/>
      <c r="D8" s="4"/>
      <c r="E8" s="4"/>
      <c r="F8" s="4"/>
      <c r="I8" s="125"/>
      <c r="K8" s="125" t="s">
        <v>257</v>
      </c>
    </row>
    <row r="9" spans="1:13" ht="33.75" customHeight="1">
      <c r="A9" s="73" t="s">
        <v>0</v>
      </c>
      <c r="B9" s="139" t="s">
        <v>55</v>
      </c>
      <c r="C9" s="56" t="s">
        <v>56</v>
      </c>
      <c r="D9" s="57" t="s">
        <v>62</v>
      </c>
      <c r="E9" s="56" t="s">
        <v>60</v>
      </c>
      <c r="F9" s="57"/>
      <c r="G9" s="145" t="s">
        <v>58</v>
      </c>
      <c r="H9" s="355" t="s">
        <v>442</v>
      </c>
      <c r="I9" s="201" t="s">
        <v>87</v>
      </c>
      <c r="J9" s="359" t="s">
        <v>443</v>
      </c>
      <c r="K9" s="201" t="s">
        <v>87</v>
      </c>
      <c r="L9" s="359" t="s">
        <v>444</v>
      </c>
      <c r="M9" s="201" t="s">
        <v>87</v>
      </c>
    </row>
    <row r="10" spans="1:13" ht="64.5" customHeight="1" thickBot="1">
      <c r="A10" s="55"/>
      <c r="B10" s="140"/>
      <c r="C10" s="74"/>
      <c r="D10" s="58" t="s">
        <v>63</v>
      </c>
      <c r="E10" s="74" t="s">
        <v>57</v>
      </c>
      <c r="F10" s="58"/>
      <c r="G10" s="146"/>
      <c r="H10" s="358"/>
      <c r="I10" s="112" t="s">
        <v>241</v>
      </c>
      <c r="J10" s="360"/>
      <c r="K10" s="252" t="s">
        <v>241</v>
      </c>
      <c r="L10" s="360"/>
      <c r="M10" s="252" t="s">
        <v>241</v>
      </c>
    </row>
    <row r="11" spans="1:13" ht="19.5" thickBot="1">
      <c r="A11" s="71" t="s">
        <v>457</v>
      </c>
      <c r="B11" s="27" t="s">
        <v>84</v>
      </c>
      <c r="C11" s="20"/>
      <c r="D11" s="12"/>
      <c r="E11" s="20"/>
      <c r="F11" s="12"/>
      <c r="G11" s="50"/>
      <c r="H11" s="38">
        <f>H12+H36+H41+H56+H79+H132+H138+H163+H171+H186</f>
        <v>625966.8</v>
      </c>
      <c r="I11" s="38">
        <f>I12+I36+I41+I56+I79+I132+I138+I163+I171+I186</f>
        <v>130272.29999999999</v>
      </c>
      <c r="J11" s="38">
        <f>J12+J36+J41+J56+J79+J132+J138+J163+J171+J186</f>
        <v>512314.30000000005</v>
      </c>
      <c r="K11" s="38">
        <f>K12+K36+K41+K56+K79+K132+K138+K163+K171+K186</f>
        <v>121735.79999999999</v>
      </c>
      <c r="L11" s="243">
        <f>J11/H11*100</f>
        <v>81.84368563955789</v>
      </c>
      <c r="M11" s="154">
        <f>K11/I11*100</f>
        <v>93.44718716104651</v>
      </c>
    </row>
    <row r="12" spans="1:13" ht="16.5" thickBot="1">
      <c r="A12" s="210" t="s">
        <v>17</v>
      </c>
      <c r="B12" s="141" t="s">
        <v>84</v>
      </c>
      <c r="C12" s="18" t="s">
        <v>182</v>
      </c>
      <c r="D12" s="143" t="s">
        <v>123</v>
      </c>
      <c r="E12" s="18"/>
      <c r="F12" s="23"/>
      <c r="G12" s="147"/>
      <c r="H12" s="38">
        <f>H13+H17+H25+H29+H21</f>
        <v>102916.6</v>
      </c>
      <c r="I12" s="38">
        <f>I13+I17+I25+I29+I21</f>
        <v>5147</v>
      </c>
      <c r="J12" s="154">
        <f>J13+J17+J25+J29+J21</f>
        <v>87467.8</v>
      </c>
      <c r="K12" s="38">
        <f>K13+K17+K25+K29+K21</f>
        <v>4750.3</v>
      </c>
      <c r="L12" s="243">
        <f>J12/H12*100</f>
        <v>84.9890105191971</v>
      </c>
      <c r="M12" s="154">
        <f>K12/I12*100</f>
        <v>92.29259762968721</v>
      </c>
    </row>
    <row r="13" spans="1:13" s="22" customFormat="1" ht="26.25">
      <c r="A13" s="114" t="s">
        <v>100</v>
      </c>
      <c r="B13" s="13" t="s">
        <v>84</v>
      </c>
      <c r="C13" s="33" t="s">
        <v>182</v>
      </c>
      <c r="D13" s="43" t="s">
        <v>183</v>
      </c>
      <c r="E13" s="33"/>
      <c r="F13" s="43"/>
      <c r="G13" s="115"/>
      <c r="H13" s="100">
        <f>H14</f>
        <v>1577.3</v>
      </c>
      <c r="I13" s="100">
        <f>I14</f>
        <v>0</v>
      </c>
      <c r="J13" s="263">
        <f>J14</f>
        <v>1399.8</v>
      </c>
      <c r="K13" s="178"/>
      <c r="L13" s="307">
        <f>J13/H13*100</f>
        <v>88.74659227794332</v>
      </c>
      <c r="M13" s="306"/>
    </row>
    <row r="14" spans="1:13" s="46" customFormat="1" ht="39">
      <c r="A14" s="60" t="s">
        <v>286</v>
      </c>
      <c r="B14" s="64" t="s">
        <v>84</v>
      </c>
      <c r="C14" s="65" t="s">
        <v>182</v>
      </c>
      <c r="D14" s="66" t="s">
        <v>183</v>
      </c>
      <c r="E14" s="65" t="s">
        <v>265</v>
      </c>
      <c r="F14" s="66"/>
      <c r="G14" s="67"/>
      <c r="H14" s="63">
        <f>H16</f>
        <v>1577.3</v>
      </c>
      <c r="I14" s="63">
        <f>I16</f>
        <v>0</v>
      </c>
      <c r="J14" s="63">
        <f>J16</f>
        <v>1399.8</v>
      </c>
      <c r="K14" s="157"/>
      <c r="L14" s="24"/>
      <c r="M14" s="157"/>
    </row>
    <row r="15" spans="1:13" s="46" customFormat="1" ht="15.75">
      <c r="A15" s="61" t="s">
        <v>287</v>
      </c>
      <c r="B15" s="64" t="s">
        <v>84</v>
      </c>
      <c r="C15" s="65" t="s">
        <v>182</v>
      </c>
      <c r="D15" s="66" t="s">
        <v>183</v>
      </c>
      <c r="E15" s="65" t="s">
        <v>288</v>
      </c>
      <c r="F15" s="66"/>
      <c r="G15" s="67"/>
      <c r="H15" s="63">
        <f>H16</f>
        <v>1577.3</v>
      </c>
      <c r="I15" s="63">
        <f>I16</f>
        <v>0</v>
      </c>
      <c r="J15" s="63">
        <f>J16</f>
        <v>1399.8</v>
      </c>
      <c r="K15" s="157"/>
      <c r="L15" s="24"/>
      <c r="M15" s="157"/>
    </row>
    <row r="16" spans="1:13" s="46" customFormat="1" ht="15.75">
      <c r="A16" s="62" t="s">
        <v>142</v>
      </c>
      <c r="B16" s="64" t="s">
        <v>84</v>
      </c>
      <c r="C16" s="65" t="s">
        <v>182</v>
      </c>
      <c r="D16" s="66" t="s">
        <v>183</v>
      </c>
      <c r="E16" s="65" t="s">
        <v>288</v>
      </c>
      <c r="F16" s="66"/>
      <c r="G16" s="67" t="s">
        <v>266</v>
      </c>
      <c r="H16" s="63">
        <f>1907.3-330</f>
        <v>1577.3</v>
      </c>
      <c r="I16" s="63"/>
      <c r="J16" s="246">
        <v>1399.8</v>
      </c>
      <c r="K16" s="157"/>
      <c r="L16" s="240"/>
      <c r="M16" s="157"/>
    </row>
    <row r="17" spans="1:13" s="22" customFormat="1" ht="26.25">
      <c r="A17" s="116" t="s">
        <v>101</v>
      </c>
      <c r="B17" s="94" t="s">
        <v>84</v>
      </c>
      <c r="C17" s="91" t="s">
        <v>182</v>
      </c>
      <c r="D17" s="103" t="s">
        <v>184</v>
      </c>
      <c r="E17" s="91"/>
      <c r="F17" s="103"/>
      <c r="G17" s="111"/>
      <c r="H17" s="75">
        <f aca="true" t="shared" si="0" ref="H17:J19">H18</f>
        <v>89917</v>
      </c>
      <c r="I17" s="75">
        <f t="shared" si="0"/>
        <v>5147</v>
      </c>
      <c r="J17" s="75">
        <f t="shared" si="0"/>
        <v>77048.3</v>
      </c>
      <c r="K17" s="254">
        <f>K18</f>
        <v>4750.3</v>
      </c>
      <c r="L17" s="307">
        <f>J17/H17*100</f>
        <v>85.68824582670686</v>
      </c>
      <c r="M17" s="306">
        <f>K17/I17*100</f>
        <v>92.29259762968721</v>
      </c>
    </row>
    <row r="18" spans="1:13" ht="39">
      <c r="A18" s="60" t="s">
        <v>286</v>
      </c>
      <c r="B18" s="64" t="s">
        <v>84</v>
      </c>
      <c r="C18" s="65" t="s">
        <v>182</v>
      </c>
      <c r="D18" s="66" t="s">
        <v>184</v>
      </c>
      <c r="E18" s="68" t="s">
        <v>265</v>
      </c>
      <c r="F18" s="59"/>
      <c r="G18" s="69"/>
      <c r="H18" s="63">
        <f t="shared" si="0"/>
        <v>89917</v>
      </c>
      <c r="I18" s="63">
        <f t="shared" si="0"/>
        <v>5147</v>
      </c>
      <c r="J18" s="63">
        <f t="shared" si="0"/>
        <v>77048.3</v>
      </c>
      <c r="K18" s="246">
        <f>K19</f>
        <v>4750.3</v>
      </c>
      <c r="L18" s="321"/>
      <c r="M18" s="246"/>
    </row>
    <row r="19" spans="1:13" ht="15.75">
      <c r="A19" s="61" t="s">
        <v>50</v>
      </c>
      <c r="B19" s="64" t="s">
        <v>84</v>
      </c>
      <c r="C19" s="65" t="s">
        <v>182</v>
      </c>
      <c r="D19" s="66" t="s">
        <v>184</v>
      </c>
      <c r="E19" s="68" t="s">
        <v>267</v>
      </c>
      <c r="F19" s="59"/>
      <c r="G19" s="83"/>
      <c r="H19" s="63">
        <f t="shared" si="0"/>
        <v>89917</v>
      </c>
      <c r="I19" s="63">
        <f t="shared" si="0"/>
        <v>5147</v>
      </c>
      <c r="J19" s="63">
        <f t="shared" si="0"/>
        <v>77048.3</v>
      </c>
      <c r="K19" s="246">
        <f>K20</f>
        <v>4750.3</v>
      </c>
      <c r="L19" s="321"/>
      <c r="M19" s="246"/>
    </row>
    <row r="20" spans="1:13" ht="15.75">
      <c r="A20" s="62" t="s">
        <v>142</v>
      </c>
      <c r="B20" s="64" t="s">
        <v>84</v>
      </c>
      <c r="C20" s="65" t="s">
        <v>182</v>
      </c>
      <c r="D20" s="66" t="s">
        <v>184</v>
      </c>
      <c r="E20" s="65" t="s">
        <v>267</v>
      </c>
      <c r="F20" s="66"/>
      <c r="G20" s="67" t="s">
        <v>266</v>
      </c>
      <c r="H20" s="63">
        <v>89917</v>
      </c>
      <c r="I20" s="63">
        <f>1717+2407+1023</f>
        <v>5147</v>
      </c>
      <c r="J20" s="246">
        <v>77048.3</v>
      </c>
      <c r="K20" s="246">
        <f>1421.5+2306.5+1022.2+0.1</f>
        <v>4750.3</v>
      </c>
      <c r="L20" s="321"/>
      <c r="M20" s="246"/>
    </row>
    <row r="21" spans="1:13" s="22" customFormat="1" ht="15.75">
      <c r="A21" s="102" t="s">
        <v>383</v>
      </c>
      <c r="B21" s="94" t="s">
        <v>84</v>
      </c>
      <c r="C21" s="91" t="s">
        <v>182</v>
      </c>
      <c r="D21" s="103" t="s">
        <v>196</v>
      </c>
      <c r="E21" s="91"/>
      <c r="F21" s="103"/>
      <c r="G21" s="172"/>
      <c r="H21" s="75">
        <f aca="true" t="shared" si="1" ref="H21:J23">H22</f>
        <v>38.1</v>
      </c>
      <c r="I21" s="75">
        <f t="shared" si="1"/>
        <v>0</v>
      </c>
      <c r="J21" s="75">
        <f t="shared" si="1"/>
        <v>0</v>
      </c>
      <c r="K21" s="254"/>
      <c r="L21" s="307">
        <f>J21/H21*100</f>
        <v>0</v>
      </c>
      <c r="M21" s="306"/>
    </row>
    <row r="22" spans="1:13" ht="15.75">
      <c r="A22" s="62" t="s">
        <v>143</v>
      </c>
      <c r="B22" s="64" t="s">
        <v>84</v>
      </c>
      <c r="C22" s="65" t="s">
        <v>182</v>
      </c>
      <c r="D22" s="66" t="s">
        <v>196</v>
      </c>
      <c r="E22" s="65" t="s">
        <v>384</v>
      </c>
      <c r="F22" s="66"/>
      <c r="G22" s="132"/>
      <c r="H22" s="63">
        <f t="shared" si="1"/>
        <v>38.1</v>
      </c>
      <c r="I22" s="63">
        <f t="shared" si="1"/>
        <v>0</v>
      </c>
      <c r="J22" s="63">
        <f t="shared" si="1"/>
        <v>0</v>
      </c>
      <c r="K22" s="246"/>
      <c r="L22" s="321"/>
      <c r="M22" s="246"/>
    </row>
    <row r="23" spans="1:13" ht="26.25">
      <c r="A23" s="61" t="s">
        <v>385</v>
      </c>
      <c r="B23" s="64" t="s">
        <v>84</v>
      </c>
      <c r="C23" s="65" t="s">
        <v>182</v>
      </c>
      <c r="D23" s="66" t="s">
        <v>196</v>
      </c>
      <c r="E23" s="65" t="s">
        <v>386</v>
      </c>
      <c r="F23" s="66"/>
      <c r="G23" s="132"/>
      <c r="H23" s="63">
        <f t="shared" si="1"/>
        <v>38.1</v>
      </c>
      <c r="I23" s="63">
        <f t="shared" si="1"/>
        <v>0</v>
      </c>
      <c r="J23" s="63">
        <f t="shared" si="1"/>
        <v>0</v>
      </c>
      <c r="K23" s="246"/>
      <c r="L23" s="321"/>
      <c r="M23" s="246"/>
    </row>
    <row r="24" spans="1:13" ht="15.75">
      <c r="A24" s="62" t="s">
        <v>142</v>
      </c>
      <c r="B24" s="64" t="s">
        <v>84</v>
      </c>
      <c r="C24" s="65" t="s">
        <v>182</v>
      </c>
      <c r="D24" s="66" t="s">
        <v>196</v>
      </c>
      <c r="E24" s="65" t="s">
        <v>386</v>
      </c>
      <c r="F24" s="66" t="s">
        <v>266</v>
      </c>
      <c r="G24" s="132" t="s">
        <v>266</v>
      </c>
      <c r="H24" s="63">
        <f>46.6-8.5</f>
        <v>38.1</v>
      </c>
      <c r="I24" s="63"/>
      <c r="J24" s="246">
        <v>0</v>
      </c>
      <c r="K24" s="246"/>
      <c r="L24" s="321"/>
      <c r="M24" s="246"/>
    </row>
    <row r="25" spans="1:13" s="22" customFormat="1" ht="15.75">
      <c r="A25" s="106" t="s">
        <v>16</v>
      </c>
      <c r="B25" s="94" t="s">
        <v>84</v>
      </c>
      <c r="C25" s="91" t="s">
        <v>182</v>
      </c>
      <c r="D25" s="103" t="s">
        <v>185</v>
      </c>
      <c r="E25" s="91"/>
      <c r="F25" s="89"/>
      <c r="G25" s="86"/>
      <c r="H25" s="75">
        <f aca="true" t="shared" si="2" ref="H25:J27">H26</f>
        <v>1576.7</v>
      </c>
      <c r="I25" s="75">
        <f t="shared" si="2"/>
        <v>0</v>
      </c>
      <c r="J25" s="75">
        <f t="shared" si="2"/>
        <v>0</v>
      </c>
      <c r="K25" s="254"/>
      <c r="L25" s="106"/>
      <c r="M25" s="254"/>
    </row>
    <row r="26" spans="1:13" ht="15.75">
      <c r="A26" s="25" t="s">
        <v>16</v>
      </c>
      <c r="B26" s="64" t="s">
        <v>84</v>
      </c>
      <c r="C26" s="65" t="s">
        <v>182</v>
      </c>
      <c r="D26" s="66" t="s">
        <v>185</v>
      </c>
      <c r="E26" s="65" t="s">
        <v>19</v>
      </c>
      <c r="F26" s="70"/>
      <c r="G26" s="83"/>
      <c r="H26" s="63">
        <f t="shared" si="2"/>
        <v>1576.7</v>
      </c>
      <c r="I26" s="63">
        <f t="shared" si="2"/>
        <v>0</v>
      </c>
      <c r="J26" s="63">
        <f t="shared" si="2"/>
        <v>0</v>
      </c>
      <c r="K26" s="246"/>
      <c r="L26" s="321"/>
      <c r="M26" s="246"/>
    </row>
    <row r="27" spans="1:13" ht="15.75">
      <c r="A27" s="8" t="s">
        <v>145</v>
      </c>
      <c r="B27" s="64" t="s">
        <v>84</v>
      </c>
      <c r="C27" s="65" t="s">
        <v>182</v>
      </c>
      <c r="D27" s="66" t="s">
        <v>185</v>
      </c>
      <c r="E27" s="65" t="s">
        <v>146</v>
      </c>
      <c r="F27" s="70"/>
      <c r="G27" s="83"/>
      <c r="H27" s="63">
        <f t="shared" si="2"/>
        <v>1576.7</v>
      </c>
      <c r="I27" s="63">
        <f t="shared" si="2"/>
        <v>0</v>
      </c>
      <c r="J27" s="63">
        <f t="shared" si="2"/>
        <v>0</v>
      </c>
      <c r="K27" s="246"/>
      <c r="L27" s="321"/>
      <c r="M27" s="246"/>
    </row>
    <row r="28" spans="1:13" ht="15.75">
      <c r="A28" s="26" t="s">
        <v>144</v>
      </c>
      <c r="B28" s="64" t="s">
        <v>84</v>
      </c>
      <c r="C28" s="65" t="s">
        <v>182</v>
      </c>
      <c r="D28" s="66" t="s">
        <v>185</v>
      </c>
      <c r="E28" s="65" t="s">
        <v>146</v>
      </c>
      <c r="F28" s="70"/>
      <c r="G28" s="83" t="s">
        <v>124</v>
      </c>
      <c r="H28" s="63">
        <f>1576.7</f>
        <v>1576.7</v>
      </c>
      <c r="I28" s="63"/>
      <c r="J28" s="246"/>
      <c r="K28" s="246"/>
      <c r="L28" s="321"/>
      <c r="M28" s="246"/>
    </row>
    <row r="29" spans="1:13" s="22" customFormat="1" ht="15.75">
      <c r="A29" s="117" t="s">
        <v>78</v>
      </c>
      <c r="B29" s="94" t="s">
        <v>84</v>
      </c>
      <c r="C29" s="91" t="s">
        <v>182</v>
      </c>
      <c r="D29" s="103" t="s">
        <v>186</v>
      </c>
      <c r="E29" s="91"/>
      <c r="F29" s="89"/>
      <c r="G29" s="86"/>
      <c r="H29" s="75">
        <f>H30+H33</f>
        <v>9807.5</v>
      </c>
      <c r="I29" s="75">
        <f>I30+I33</f>
        <v>0</v>
      </c>
      <c r="J29" s="75">
        <f>J30+J33</f>
        <v>9019.7</v>
      </c>
      <c r="K29" s="254"/>
      <c r="L29" s="307">
        <f>J29/H29*100</f>
        <v>91.96737190925313</v>
      </c>
      <c r="M29" s="306"/>
    </row>
    <row r="30" spans="1:13" ht="26.25">
      <c r="A30" s="45" t="s">
        <v>200</v>
      </c>
      <c r="B30" s="41" t="s">
        <v>84</v>
      </c>
      <c r="C30" s="17" t="s">
        <v>182</v>
      </c>
      <c r="D30" s="29" t="s">
        <v>186</v>
      </c>
      <c r="E30" s="17" t="s">
        <v>134</v>
      </c>
      <c r="F30" s="7"/>
      <c r="G30" s="47"/>
      <c r="H30" s="37">
        <f aca="true" t="shared" si="3" ref="H30:J31">H31</f>
        <v>9307.5</v>
      </c>
      <c r="I30" s="37">
        <f t="shared" si="3"/>
        <v>0</v>
      </c>
      <c r="J30" s="37">
        <f t="shared" si="3"/>
        <v>8521.2</v>
      </c>
      <c r="K30" s="246"/>
      <c r="L30" s="321"/>
      <c r="M30" s="246"/>
    </row>
    <row r="31" spans="1:13" ht="15.75">
      <c r="A31" s="81" t="s">
        <v>75</v>
      </c>
      <c r="B31" s="41" t="s">
        <v>84</v>
      </c>
      <c r="C31" s="17" t="s">
        <v>182</v>
      </c>
      <c r="D31" s="29" t="s">
        <v>186</v>
      </c>
      <c r="E31" s="17" t="s">
        <v>199</v>
      </c>
      <c r="F31" s="7"/>
      <c r="G31" s="47"/>
      <c r="H31" s="37">
        <f t="shared" si="3"/>
        <v>9307.5</v>
      </c>
      <c r="I31" s="37">
        <f t="shared" si="3"/>
        <v>0</v>
      </c>
      <c r="J31" s="37">
        <f t="shared" si="3"/>
        <v>8521.2</v>
      </c>
      <c r="K31" s="246"/>
      <c r="L31" s="321"/>
      <c r="M31" s="246"/>
    </row>
    <row r="32" spans="1:13" ht="15.75">
      <c r="A32" s="8" t="s">
        <v>142</v>
      </c>
      <c r="B32" s="42" t="s">
        <v>84</v>
      </c>
      <c r="C32" s="19" t="s">
        <v>182</v>
      </c>
      <c r="D32" s="30" t="s">
        <v>186</v>
      </c>
      <c r="E32" s="19" t="s">
        <v>199</v>
      </c>
      <c r="F32" s="5" t="s">
        <v>49</v>
      </c>
      <c r="G32" s="47" t="s">
        <v>266</v>
      </c>
      <c r="H32" s="37">
        <f>26077+5000-3000-25925+7155.5</f>
        <v>9307.5</v>
      </c>
      <c r="I32" s="157"/>
      <c r="J32" s="246">
        <v>8521.2</v>
      </c>
      <c r="K32" s="246"/>
      <c r="L32" s="321"/>
      <c r="M32" s="246"/>
    </row>
    <row r="33" spans="1:13" ht="15.75">
      <c r="A33" s="8" t="s">
        <v>127</v>
      </c>
      <c r="B33" s="42" t="s">
        <v>84</v>
      </c>
      <c r="C33" s="19" t="s">
        <v>182</v>
      </c>
      <c r="D33" s="30" t="s">
        <v>186</v>
      </c>
      <c r="E33" s="19" t="s">
        <v>128</v>
      </c>
      <c r="F33" s="5"/>
      <c r="G33" s="47"/>
      <c r="H33" s="37">
        <f aca="true" t="shared" si="4" ref="H33:J34">H34</f>
        <v>500</v>
      </c>
      <c r="I33" s="37">
        <f t="shared" si="4"/>
        <v>0</v>
      </c>
      <c r="J33" s="37">
        <f t="shared" si="4"/>
        <v>498.5</v>
      </c>
      <c r="K33" s="246"/>
      <c r="L33" s="321"/>
      <c r="M33" s="246"/>
    </row>
    <row r="34" spans="1:13" ht="26.25">
      <c r="A34" s="107" t="s">
        <v>330</v>
      </c>
      <c r="B34" s="42" t="s">
        <v>84</v>
      </c>
      <c r="C34" s="19" t="s">
        <v>182</v>
      </c>
      <c r="D34" s="30" t="s">
        <v>186</v>
      </c>
      <c r="E34" s="19" t="s">
        <v>331</v>
      </c>
      <c r="F34" s="5"/>
      <c r="G34" s="47"/>
      <c r="H34" s="37">
        <f t="shared" si="4"/>
        <v>500</v>
      </c>
      <c r="I34" s="37">
        <f t="shared" si="4"/>
        <v>0</v>
      </c>
      <c r="J34" s="37">
        <f t="shared" si="4"/>
        <v>498.5</v>
      </c>
      <c r="K34" s="246"/>
      <c r="L34" s="321"/>
      <c r="M34" s="246"/>
    </row>
    <row r="35" spans="1:13" ht="15.75">
      <c r="A35" s="62" t="s">
        <v>142</v>
      </c>
      <c r="B35" s="42" t="s">
        <v>84</v>
      </c>
      <c r="C35" s="19" t="s">
        <v>182</v>
      </c>
      <c r="D35" s="30" t="s">
        <v>186</v>
      </c>
      <c r="E35" s="19" t="s">
        <v>331</v>
      </c>
      <c r="F35" s="5"/>
      <c r="G35" s="47" t="s">
        <v>266</v>
      </c>
      <c r="H35" s="37">
        <f>5000-2000-2500</f>
        <v>500</v>
      </c>
      <c r="I35" s="157"/>
      <c r="J35" s="246">
        <v>498.5</v>
      </c>
      <c r="K35" s="246"/>
      <c r="L35" s="321"/>
      <c r="M35" s="246"/>
    </row>
    <row r="36" spans="1:13" ht="15.75">
      <c r="A36" s="106" t="s">
        <v>79</v>
      </c>
      <c r="B36" s="94" t="s">
        <v>84</v>
      </c>
      <c r="C36" s="91" t="s">
        <v>183</v>
      </c>
      <c r="D36" s="142" t="s">
        <v>123</v>
      </c>
      <c r="E36" s="90"/>
      <c r="F36" s="88"/>
      <c r="G36" s="84"/>
      <c r="H36" s="75">
        <f aca="true" t="shared" si="5" ref="H36:J39">H37</f>
        <v>179.29999999999995</v>
      </c>
      <c r="I36" s="75">
        <f t="shared" si="5"/>
        <v>0</v>
      </c>
      <c r="J36" s="75">
        <f t="shared" si="5"/>
        <v>178.9</v>
      </c>
      <c r="K36" s="246"/>
      <c r="L36" s="307">
        <f>J36/H36*100</f>
        <v>99.77691020635808</v>
      </c>
      <c r="M36" s="306"/>
    </row>
    <row r="37" spans="1:13" ht="15.75">
      <c r="A37" s="26" t="s">
        <v>80</v>
      </c>
      <c r="B37" s="40" t="s">
        <v>84</v>
      </c>
      <c r="C37" s="21" t="s">
        <v>183</v>
      </c>
      <c r="D37" s="28" t="s">
        <v>184</v>
      </c>
      <c r="E37" s="14"/>
      <c r="F37" s="9"/>
      <c r="G37" s="51"/>
      <c r="H37" s="36">
        <f t="shared" si="5"/>
        <v>179.29999999999995</v>
      </c>
      <c r="I37" s="36">
        <f t="shared" si="5"/>
        <v>0</v>
      </c>
      <c r="J37" s="36">
        <f t="shared" si="5"/>
        <v>178.9</v>
      </c>
      <c r="K37" s="246"/>
      <c r="L37" s="321"/>
      <c r="M37" s="246"/>
    </row>
    <row r="38" spans="1:13" ht="26.25">
      <c r="A38" s="45" t="s">
        <v>102</v>
      </c>
      <c r="B38" s="41" t="s">
        <v>84</v>
      </c>
      <c r="C38" s="17" t="s">
        <v>183</v>
      </c>
      <c r="D38" s="29" t="s">
        <v>184</v>
      </c>
      <c r="E38" s="17" t="s">
        <v>81</v>
      </c>
      <c r="F38" s="29"/>
      <c r="G38" s="47"/>
      <c r="H38" s="37">
        <f t="shared" si="5"/>
        <v>179.29999999999995</v>
      </c>
      <c r="I38" s="37">
        <f t="shared" si="5"/>
        <v>0</v>
      </c>
      <c r="J38" s="37">
        <f t="shared" si="5"/>
        <v>178.9</v>
      </c>
      <c r="K38" s="246"/>
      <c r="L38" s="321"/>
      <c r="M38" s="246"/>
    </row>
    <row r="39" spans="1:13" ht="16.5" customHeight="1">
      <c r="A39" s="97" t="s">
        <v>103</v>
      </c>
      <c r="B39" s="41" t="s">
        <v>84</v>
      </c>
      <c r="C39" s="17" t="s">
        <v>183</v>
      </c>
      <c r="D39" s="29" t="s">
        <v>184</v>
      </c>
      <c r="E39" s="17" t="s">
        <v>147</v>
      </c>
      <c r="F39" s="29"/>
      <c r="G39" s="47"/>
      <c r="H39" s="37">
        <f t="shared" si="5"/>
        <v>179.29999999999995</v>
      </c>
      <c r="I39" s="37">
        <f t="shared" si="5"/>
        <v>0</v>
      </c>
      <c r="J39" s="37">
        <f t="shared" si="5"/>
        <v>178.9</v>
      </c>
      <c r="K39" s="246"/>
      <c r="L39" s="321"/>
      <c r="M39" s="246"/>
    </row>
    <row r="40" spans="1:13" ht="15.75">
      <c r="A40" s="62" t="s">
        <v>142</v>
      </c>
      <c r="B40" s="42" t="s">
        <v>84</v>
      </c>
      <c r="C40" s="19" t="s">
        <v>183</v>
      </c>
      <c r="D40" s="30" t="s">
        <v>184</v>
      </c>
      <c r="E40" s="19" t="s">
        <v>147</v>
      </c>
      <c r="F40" s="30"/>
      <c r="G40" s="51" t="s">
        <v>266</v>
      </c>
      <c r="H40" s="35">
        <f>1223+0.3-1000-44</f>
        <v>179.29999999999995</v>
      </c>
      <c r="I40" s="310"/>
      <c r="J40" s="246">
        <v>178.9</v>
      </c>
      <c r="K40" s="246"/>
      <c r="L40" s="321"/>
      <c r="M40" s="246"/>
    </row>
    <row r="41" spans="1:13" ht="15.75">
      <c r="A41" s="106" t="s">
        <v>113</v>
      </c>
      <c r="B41" s="94" t="s">
        <v>84</v>
      </c>
      <c r="C41" s="91" t="s">
        <v>187</v>
      </c>
      <c r="D41" s="142" t="s">
        <v>123</v>
      </c>
      <c r="E41" s="90"/>
      <c r="F41" s="88"/>
      <c r="G41" s="84"/>
      <c r="H41" s="75">
        <f>H42+H49</f>
        <v>7428.9</v>
      </c>
      <c r="I41" s="75">
        <f>I42+I49</f>
        <v>0</v>
      </c>
      <c r="J41" s="75">
        <f>J42+J49</f>
        <v>3759</v>
      </c>
      <c r="K41" s="246"/>
      <c r="L41" s="307">
        <f>J41/H41*100</f>
        <v>50.59968501393208</v>
      </c>
      <c r="M41" s="306"/>
    </row>
    <row r="42" spans="1:13" s="22" customFormat="1" ht="26.25">
      <c r="A42" s="136" t="s">
        <v>165</v>
      </c>
      <c r="B42" s="93" t="s">
        <v>84</v>
      </c>
      <c r="C42" s="91" t="s">
        <v>187</v>
      </c>
      <c r="D42" s="103" t="s">
        <v>188</v>
      </c>
      <c r="E42" s="91"/>
      <c r="F42" s="89"/>
      <c r="G42" s="86"/>
      <c r="H42" s="75">
        <f>H46+H43</f>
        <v>3799.9</v>
      </c>
      <c r="I42" s="75">
        <f>I46+I43</f>
        <v>0</v>
      </c>
      <c r="J42" s="75">
        <f>J46+J43</f>
        <v>912.8</v>
      </c>
      <c r="K42" s="254"/>
      <c r="L42" s="106"/>
      <c r="M42" s="254"/>
    </row>
    <row r="43" spans="1:13" ht="29.25" customHeight="1">
      <c r="A43" s="61" t="s">
        <v>135</v>
      </c>
      <c r="B43" s="40" t="s">
        <v>84</v>
      </c>
      <c r="C43" s="21" t="s">
        <v>187</v>
      </c>
      <c r="D43" s="28" t="s">
        <v>188</v>
      </c>
      <c r="E43" s="21" t="s">
        <v>136</v>
      </c>
      <c r="F43" s="28" t="s">
        <v>49</v>
      </c>
      <c r="G43" s="85"/>
      <c r="H43" s="36">
        <f aca="true" t="shared" si="6" ref="H43:J44">H44</f>
        <v>2391.9</v>
      </c>
      <c r="I43" s="36">
        <f t="shared" si="6"/>
        <v>0</v>
      </c>
      <c r="J43" s="36">
        <f t="shared" si="6"/>
        <v>870.9</v>
      </c>
      <c r="K43" s="246"/>
      <c r="L43" s="321"/>
      <c r="M43" s="246"/>
    </row>
    <row r="44" spans="1:13" ht="28.5" customHeight="1">
      <c r="A44" s="61" t="s">
        <v>137</v>
      </c>
      <c r="B44" s="40" t="s">
        <v>84</v>
      </c>
      <c r="C44" s="21" t="s">
        <v>187</v>
      </c>
      <c r="D44" s="28" t="s">
        <v>188</v>
      </c>
      <c r="E44" s="21" t="s">
        <v>166</v>
      </c>
      <c r="F44" s="28" t="s">
        <v>138</v>
      </c>
      <c r="G44" s="85"/>
      <c r="H44" s="36">
        <f t="shared" si="6"/>
        <v>2391.9</v>
      </c>
      <c r="I44" s="36">
        <f t="shared" si="6"/>
        <v>0</v>
      </c>
      <c r="J44" s="36">
        <f t="shared" si="6"/>
        <v>870.9</v>
      </c>
      <c r="K44" s="246"/>
      <c r="L44" s="321"/>
      <c r="M44" s="246"/>
    </row>
    <row r="45" spans="1:13" ht="15" customHeight="1">
      <c r="A45" s="62" t="s">
        <v>142</v>
      </c>
      <c r="B45" s="40" t="s">
        <v>84</v>
      </c>
      <c r="C45" s="21" t="s">
        <v>187</v>
      </c>
      <c r="D45" s="28" t="s">
        <v>188</v>
      </c>
      <c r="E45" s="21" t="s">
        <v>166</v>
      </c>
      <c r="F45" s="28"/>
      <c r="G45" s="85" t="s">
        <v>266</v>
      </c>
      <c r="H45" s="36">
        <v>2391.9</v>
      </c>
      <c r="I45" s="36"/>
      <c r="J45" s="246">
        <v>870.9</v>
      </c>
      <c r="K45" s="246"/>
      <c r="L45" s="321"/>
      <c r="M45" s="246"/>
    </row>
    <row r="46" spans="1:13" ht="15.75">
      <c r="A46" s="24" t="s">
        <v>21</v>
      </c>
      <c r="B46" s="41" t="s">
        <v>84</v>
      </c>
      <c r="C46" s="17" t="s">
        <v>187</v>
      </c>
      <c r="D46" s="29" t="s">
        <v>188</v>
      </c>
      <c r="E46" s="17" t="s">
        <v>22</v>
      </c>
      <c r="F46" s="29"/>
      <c r="G46" s="76"/>
      <c r="H46" s="37">
        <f aca="true" t="shared" si="7" ref="H46:J47">H47</f>
        <v>1408</v>
      </c>
      <c r="I46" s="37">
        <f t="shared" si="7"/>
        <v>0</v>
      </c>
      <c r="J46" s="37">
        <f t="shared" si="7"/>
        <v>41.9</v>
      </c>
      <c r="K46" s="246"/>
      <c r="L46" s="321"/>
      <c r="M46" s="246"/>
    </row>
    <row r="47" spans="1:13" ht="26.25">
      <c r="A47" s="45" t="s">
        <v>116</v>
      </c>
      <c r="B47" s="42" t="s">
        <v>84</v>
      </c>
      <c r="C47" s="19" t="s">
        <v>187</v>
      </c>
      <c r="D47" s="30" t="s">
        <v>188</v>
      </c>
      <c r="E47" s="17" t="s">
        <v>167</v>
      </c>
      <c r="F47" s="29"/>
      <c r="G47" s="54"/>
      <c r="H47" s="35">
        <f t="shared" si="7"/>
        <v>1408</v>
      </c>
      <c r="I47" s="35">
        <f t="shared" si="7"/>
        <v>0</v>
      </c>
      <c r="J47" s="35">
        <f t="shared" si="7"/>
        <v>41.9</v>
      </c>
      <c r="K47" s="246"/>
      <c r="L47" s="321"/>
      <c r="M47" s="246"/>
    </row>
    <row r="48" spans="1:13" ht="15.75">
      <c r="A48" s="62" t="s">
        <v>142</v>
      </c>
      <c r="B48" s="41" t="s">
        <v>84</v>
      </c>
      <c r="C48" s="17" t="s">
        <v>187</v>
      </c>
      <c r="D48" s="29" t="s">
        <v>188</v>
      </c>
      <c r="E48" s="17" t="s">
        <v>167</v>
      </c>
      <c r="F48" s="29"/>
      <c r="G48" s="85" t="s">
        <v>266</v>
      </c>
      <c r="H48" s="37">
        <f>3908-2500</f>
        <v>1408</v>
      </c>
      <c r="I48" s="157"/>
      <c r="J48" s="246">
        <v>41.9</v>
      </c>
      <c r="K48" s="246"/>
      <c r="L48" s="321"/>
      <c r="M48" s="246"/>
    </row>
    <row r="49" spans="1:13" s="22" customFormat="1" ht="26.25">
      <c r="A49" s="114" t="s">
        <v>105</v>
      </c>
      <c r="B49" s="93" t="s">
        <v>84</v>
      </c>
      <c r="C49" s="16" t="s">
        <v>187</v>
      </c>
      <c r="D49" s="31" t="s">
        <v>186</v>
      </c>
      <c r="E49" s="16"/>
      <c r="F49" s="31"/>
      <c r="G49" s="113"/>
      <c r="H49" s="79">
        <f>H50+H53</f>
        <v>3629</v>
      </c>
      <c r="I49" s="79">
        <f>I50+I53</f>
        <v>0</v>
      </c>
      <c r="J49" s="79">
        <f>J50+J53</f>
        <v>2846.2</v>
      </c>
      <c r="K49" s="254"/>
      <c r="L49" s="307">
        <f>J49/H49*100</f>
        <v>78.42931937172774</v>
      </c>
      <c r="M49" s="306"/>
    </row>
    <row r="50" spans="1:13" ht="26.25">
      <c r="A50" s="45" t="s">
        <v>106</v>
      </c>
      <c r="B50" s="42" t="s">
        <v>84</v>
      </c>
      <c r="C50" s="19" t="s">
        <v>187</v>
      </c>
      <c r="D50" s="30" t="s">
        <v>186</v>
      </c>
      <c r="E50" s="19" t="s">
        <v>82</v>
      </c>
      <c r="F50" s="5"/>
      <c r="G50" s="76"/>
      <c r="H50" s="35">
        <f aca="true" t="shared" si="8" ref="H50:J51">H51</f>
        <v>189</v>
      </c>
      <c r="I50" s="35">
        <f t="shared" si="8"/>
        <v>0</v>
      </c>
      <c r="J50" s="35">
        <f t="shared" si="8"/>
        <v>0</v>
      </c>
      <c r="K50" s="246"/>
      <c r="L50" s="321"/>
      <c r="M50" s="246"/>
    </row>
    <row r="51" spans="1:13" ht="15.75">
      <c r="A51" s="24" t="s">
        <v>27</v>
      </c>
      <c r="B51" s="42" t="s">
        <v>84</v>
      </c>
      <c r="C51" s="19" t="s">
        <v>187</v>
      </c>
      <c r="D51" s="30" t="s">
        <v>186</v>
      </c>
      <c r="E51" s="19" t="s">
        <v>170</v>
      </c>
      <c r="F51" s="5"/>
      <c r="G51" s="52"/>
      <c r="H51" s="35">
        <f t="shared" si="8"/>
        <v>189</v>
      </c>
      <c r="I51" s="35">
        <f t="shared" si="8"/>
        <v>0</v>
      </c>
      <c r="J51" s="35">
        <f t="shared" si="8"/>
        <v>0</v>
      </c>
      <c r="K51" s="246"/>
      <c r="L51" s="321"/>
      <c r="M51" s="246"/>
    </row>
    <row r="52" spans="1:13" ht="15.75">
      <c r="A52" s="26" t="s">
        <v>142</v>
      </c>
      <c r="B52" s="42" t="s">
        <v>84</v>
      </c>
      <c r="C52" s="19" t="s">
        <v>187</v>
      </c>
      <c r="D52" s="30" t="s">
        <v>186</v>
      </c>
      <c r="E52" s="19" t="s">
        <v>170</v>
      </c>
      <c r="F52" s="5"/>
      <c r="G52" s="85" t="s">
        <v>266</v>
      </c>
      <c r="H52" s="35">
        <f>1338-1049-100</f>
        <v>189</v>
      </c>
      <c r="I52" s="310"/>
      <c r="J52" s="246">
        <v>0</v>
      </c>
      <c r="K52" s="246"/>
      <c r="L52" s="321"/>
      <c r="M52" s="246"/>
    </row>
    <row r="53" spans="1:13" ht="15.75">
      <c r="A53" s="8" t="s">
        <v>127</v>
      </c>
      <c r="B53" s="42" t="s">
        <v>84</v>
      </c>
      <c r="C53" s="19" t="s">
        <v>187</v>
      </c>
      <c r="D53" s="30" t="s">
        <v>186</v>
      </c>
      <c r="E53" s="19" t="s">
        <v>128</v>
      </c>
      <c r="F53" s="5"/>
      <c r="G53" s="110"/>
      <c r="H53" s="35">
        <f aca="true" t="shared" si="9" ref="H53:J54">H54</f>
        <v>3440</v>
      </c>
      <c r="I53" s="35">
        <f t="shared" si="9"/>
        <v>0</v>
      </c>
      <c r="J53" s="35">
        <f t="shared" si="9"/>
        <v>2846.2</v>
      </c>
      <c r="K53" s="246"/>
      <c r="L53" s="321"/>
      <c r="M53" s="246"/>
    </row>
    <row r="54" spans="1:13" ht="41.25" customHeight="1">
      <c r="A54" s="97" t="s">
        <v>345</v>
      </c>
      <c r="B54" s="42" t="s">
        <v>84</v>
      </c>
      <c r="C54" s="19" t="s">
        <v>187</v>
      </c>
      <c r="D54" s="30" t="s">
        <v>186</v>
      </c>
      <c r="E54" s="19" t="s">
        <v>255</v>
      </c>
      <c r="F54" s="5"/>
      <c r="G54" s="110"/>
      <c r="H54" s="35">
        <f t="shared" si="9"/>
        <v>3440</v>
      </c>
      <c r="I54" s="35">
        <f t="shared" si="9"/>
        <v>0</v>
      </c>
      <c r="J54" s="35">
        <f t="shared" si="9"/>
        <v>2846.2</v>
      </c>
      <c r="K54" s="246"/>
      <c r="L54" s="321"/>
      <c r="M54" s="246"/>
    </row>
    <row r="55" spans="1:13" ht="15.75">
      <c r="A55" s="26" t="s">
        <v>142</v>
      </c>
      <c r="B55" s="41" t="s">
        <v>84</v>
      </c>
      <c r="C55" s="19" t="s">
        <v>187</v>
      </c>
      <c r="D55" s="30" t="s">
        <v>186</v>
      </c>
      <c r="E55" s="19" t="s">
        <v>255</v>
      </c>
      <c r="F55" s="5"/>
      <c r="G55" s="110" t="s">
        <v>266</v>
      </c>
      <c r="H55" s="35">
        <f>4440-1000</f>
        <v>3440</v>
      </c>
      <c r="I55" s="310"/>
      <c r="J55" s="246">
        <v>2846.2</v>
      </c>
      <c r="K55" s="246"/>
      <c r="L55" s="321"/>
      <c r="M55" s="246"/>
    </row>
    <row r="56" spans="1:13" ht="15.75">
      <c r="A56" s="106" t="s">
        <v>64</v>
      </c>
      <c r="B56" s="94" t="s">
        <v>84</v>
      </c>
      <c r="C56" s="91" t="s">
        <v>184</v>
      </c>
      <c r="D56" s="103" t="s">
        <v>123</v>
      </c>
      <c r="E56" s="91"/>
      <c r="F56" s="89"/>
      <c r="G56" s="86"/>
      <c r="H56" s="75">
        <f>H57+H62+H70</f>
        <v>29189.300000000003</v>
      </c>
      <c r="I56" s="75">
        <f>I57+I62+I70</f>
        <v>2564</v>
      </c>
      <c r="J56" s="75">
        <f>J57+J62+J70</f>
        <v>23586.2</v>
      </c>
      <c r="K56" s="75">
        <f>K57+K62+K70</f>
        <v>982</v>
      </c>
      <c r="L56" s="307">
        <f>J56/H56*100</f>
        <v>80.80426731713332</v>
      </c>
      <c r="M56" s="306">
        <f>K56/I56*100</f>
        <v>38.29953198127925</v>
      </c>
    </row>
    <row r="57" spans="1:13" s="22" customFormat="1" ht="15.75">
      <c r="A57" s="102" t="s">
        <v>96</v>
      </c>
      <c r="B57" s="93" t="s">
        <v>84</v>
      </c>
      <c r="C57" s="16" t="s">
        <v>184</v>
      </c>
      <c r="D57" s="31" t="s">
        <v>191</v>
      </c>
      <c r="E57" s="16"/>
      <c r="F57" s="31"/>
      <c r="G57" s="113"/>
      <c r="H57" s="79">
        <f aca="true" t="shared" si="10" ref="H57:J60">H58</f>
        <v>19496</v>
      </c>
      <c r="I57" s="79">
        <f t="shared" si="10"/>
        <v>0</v>
      </c>
      <c r="J57" s="79">
        <f t="shared" si="10"/>
        <v>16181.7</v>
      </c>
      <c r="K57" s="254"/>
      <c r="L57" s="106"/>
      <c r="M57" s="254"/>
    </row>
    <row r="58" spans="1:13" ht="15.75">
      <c r="A58" s="24" t="s">
        <v>171</v>
      </c>
      <c r="B58" s="41" t="s">
        <v>84</v>
      </c>
      <c r="C58" s="21" t="s">
        <v>184</v>
      </c>
      <c r="D58" s="28" t="s">
        <v>191</v>
      </c>
      <c r="E58" s="17" t="s">
        <v>172</v>
      </c>
      <c r="F58" s="29"/>
      <c r="G58" s="76"/>
      <c r="H58" s="37">
        <f t="shared" si="10"/>
        <v>19496</v>
      </c>
      <c r="I58" s="37">
        <f t="shared" si="10"/>
        <v>0</v>
      </c>
      <c r="J58" s="37">
        <f t="shared" si="10"/>
        <v>16181.7</v>
      </c>
      <c r="K58" s="246"/>
      <c r="L58" s="321"/>
      <c r="M58" s="246"/>
    </row>
    <row r="59" spans="1:13" ht="15.75">
      <c r="A59" s="24" t="s">
        <v>173</v>
      </c>
      <c r="B59" s="41" t="s">
        <v>84</v>
      </c>
      <c r="C59" s="21" t="s">
        <v>184</v>
      </c>
      <c r="D59" s="28" t="s">
        <v>191</v>
      </c>
      <c r="E59" s="17" t="s">
        <v>174</v>
      </c>
      <c r="F59" s="29"/>
      <c r="G59" s="54"/>
      <c r="H59" s="37">
        <f t="shared" si="10"/>
        <v>19496</v>
      </c>
      <c r="I59" s="37">
        <f t="shared" si="10"/>
        <v>0</v>
      </c>
      <c r="J59" s="37">
        <f t="shared" si="10"/>
        <v>16181.7</v>
      </c>
      <c r="K59" s="246"/>
      <c r="L59" s="321"/>
      <c r="M59" s="246"/>
    </row>
    <row r="60" spans="1:13" ht="39">
      <c r="A60" s="97" t="s">
        <v>175</v>
      </c>
      <c r="B60" s="40" t="s">
        <v>84</v>
      </c>
      <c r="C60" s="21" t="s">
        <v>184</v>
      </c>
      <c r="D60" s="28" t="s">
        <v>191</v>
      </c>
      <c r="E60" s="17" t="s">
        <v>176</v>
      </c>
      <c r="F60" s="29" t="s">
        <v>49</v>
      </c>
      <c r="G60" s="76"/>
      <c r="H60" s="36">
        <f t="shared" si="10"/>
        <v>19496</v>
      </c>
      <c r="I60" s="36">
        <f t="shared" si="10"/>
        <v>0</v>
      </c>
      <c r="J60" s="36">
        <f t="shared" si="10"/>
        <v>16181.7</v>
      </c>
      <c r="K60" s="246"/>
      <c r="L60" s="321"/>
      <c r="M60" s="246"/>
    </row>
    <row r="61" spans="1:13" ht="15.75">
      <c r="A61" s="26" t="s">
        <v>177</v>
      </c>
      <c r="B61" s="40" t="s">
        <v>84</v>
      </c>
      <c r="C61" s="21" t="s">
        <v>184</v>
      </c>
      <c r="D61" s="28" t="s">
        <v>191</v>
      </c>
      <c r="E61" s="17" t="s">
        <v>176</v>
      </c>
      <c r="F61" s="29" t="s">
        <v>139</v>
      </c>
      <c r="G61" s="110" t="s">
        <v>85</v>
      </c>
      <c r="H61" s="36">
        <f>17928+1568</f>
        <v>19496</v>
      </c>
      <c r="I61" s="36"/>
      <c r="J61" s="246">
        <v>16181.7</v>
      </c>
      <c r="K61" s="246"/>
      <c r="L61" s="321"/>
      <c r="M61" s="246"/>
    </row>
    <row r="62" spans="1:13" s="22" customFormat="1" ht="15.75">
      <c r="A62" s="102" t="s">
        <v>97</v>
      </c>
      <c r="B62" s="93" t="s">
        <v>84</v>
      </c>
      <c r="C62" s="16" t="s">
        <v>184</v>
      </c>
      <c r="D62" s="31" t="s">
        <v>188</v>
      </c>
      <c r="E62" s="91"/>
      <c r="F62" s="103"/>
      <c r="G62" s="172"/>
      <c r="H62" s="79">
        <f>H63</f>
        <v>6060.900000000001</v>
      </c>
      <c r="I62" s="79">
        <f>I63</f>
        <v>2564</v>
      </c>
      <c r="J62" s="79">
        <f>J63</f>
        <v>4468.2</v>
      </c>
      <c r="K62" s="75">
        <f>K63</f>
        <v>982</v>
      </c>
      <c r="L62" s="307">
        <f>J62/H62*100</f>
        <v>73.72172449636192</v>
      </c>
      <c r="M62" s="306">
        <f>K62/I62*100</f>
        <v>38.29953198127925</v>
      </c>
    </row>
    <row r="63" spans="1:13" ht="15.75">
      <c r="A63" s="26" t="s">
        <v>97</v>
      </c>
      <c r="B63" s="40" t="s">
        <v>84</v>
      </c>
      <c r="C63" s="21" t="s">
        <v>184</v>
      </c>
      <c r="D63" s="28" t="s">
        <v>188</v>
      </c>
      <c r="E63" s="17" t="s">
        <v>192</v>
      </c>
      <c r="F63" s="29"/>
      <c r="G63" s="110"/>
      <c r="H63" s="36">
        <f>H67+H64</f>
        <v>6060.900000000001</v>
      </c>
      <c r="I63" s="36">
        <f>I67+I64</f>
        <v>2564</v>
      </c>
      <c r="J63" s="36">
        <f>J67+J64</f>
        <v>4468.2</v>
      </c>
      <c r="K63" s="63">
        <f>K64</f>
        <v>982</v>
      </c>
      <c r="L63" s="321"/>
      <c r="M63" s="246"/>
    </row>
    <row r="64" spans="1:13" ht="15.75">
      <c r="A64" s="26" t="s">
        <v>402</v>
      </c>
      <c r="B64" s="40" t="s">
        <v>84</v>
      </c>
      <c r="C64" s="21" t="s">
        <v>184</v>
      </c>
      <c r="D64" s="28" t="s">
        <v>188</v>
      </c>
      <c r="E64" s="17" t="s">
        <v>403</v>
      </c>
      <c r="F64" s="29"/>
      <c r="G64" s="110"/>
      <c r="H64" s="36">
        <f aca="true" t="shared" si="11" ref="H64:J65">H65</f>
        <v>2564</v>
      </c>
      <c r="I64" s="36">
        <f t="shared" si="11"/>
        <v>2564</v>
      </c>
      <c r="J64" s="36">
        <f t="shared" si="11"/>
        <v>982</v>
      </c>
      <c r="K64" s="63">
        <f>K65</f>
        <v>982</v>
      </c>
      <c r="L64" s="321"/>
      <c r="M64" s="246"/>
    </row>
    <row r="65" spans="1:13" ht="15.75">
      <c r="A65" s="26" t="s">
        <v>404</v>
      </c>
      <c r="B65" s="40" t="s">
        <v>84</v>
      </c>
      <c r="C65" s="21" t="s">
        <v>184</v>
      </c>
      <c r="D65" s="28" t="s">
        <v>188</v>
      </c>
      <c r="E65" s="17" t="s">
        <v>405</v>
      </c>
      <c r="F65" s="29"/>
      <c r="G65" s="110"/>
      <c r="H65" s="36">
        <f t="shared" si="11"/>
        <v>2564</v>
      </c>
      <c r="I65" s="36">
        <f t="shared" si="11"/>
        <v>2564</v>
      </c>
      <c r="J65" s="36">
        <f t="shared" si="11"/>
        <v>982</v>
      </c>
      <c r="K65" s="63">
        <f>K66</f>
        <v>982</v>
      </c>
      <c r="L65" s="321"/>
      <c r="M65" s="246"/>
    </row>
    <row r="66" spans="1:13" ht="15.75">
      <c r="A66" s="26" t="s">
        <v>406</v>
      </c>
      <c r="B66" s="40" t="s">
        <v>84</v>
      </c>
      <c r="C66" s="21" t="s">
        <v>184</v>
      </c>
      <c r="D66" s="28" t="s">
        <v>188</v>
      </c>
      <c r="E66" s="17" t="s">
        <v>405</v>
      </c>
      <c r="F66" s="29" t="s">
        <v>407</v>
      </c>
      <c r="G66" s="110" t="s">
        <v>407</v>
      </c>
      <c r="H66" s="36">
        <f>3966-1402</f>
        <v>2564</v>
      </c>
      <c r="I66" s="36">
        <f>3966-1402</f>
        <v>2564</v>
      </c>
      <c r="J66" s="63">
        <v>982</v>
      </c>
      <c r="K66" s="63">
        <v>982</v>
      </c>
      <c r="L66" s="321"/>
      <c r="M66" s="246"/>
    </row>
    <row r="67" spans="1:13" ht="15.75">
      <c r="A67" s="26" t="s">
        <v>193</v>
      </c>
      <c r="B67" s="40" t="s">
        <v>84</v>
      </c>
      <c r="C67" s="21" t="s">
        <v>184</v>
      </c>
      <c r="D67" s="28" t="s">
        <v>188</v>
      </c>
      <c r="E67" s="17" t="s">
        <v>195</v>
      </c>
      <c r="F67" s="29"/>
      <c r="G67" s="110"/>
      <c r="H67" s="36">
        <f aca="true" t="shared" si="12" ref="H67:J68">H68</f>
        <v>3496.9000000000005</v>
      </c>
      <c r="I67" s="36">
        <f t="shared" si="12"/>
        <v>0</v>
      </c>
      <c r="J67" s="36">
        <f t="shared" si="12"/>
        <v>3486.2</v>
      </c>
      <c r="K67" s="246"/>
      <c r="L67" s="321"/>
      <c r="M67" s="246"/>
    </row>
    <row r="68" spans="1:13" ht="15.75">
      <c r="A68" s="26" t="s">
        <v>300</v>
      </c>
      <c r="B68" s="40" t="s">
        <v>84</v>
      </c>
      <c r="C68" s="21" t="s">
        <v>184</v>
      </c>
      <c r="D68" s="28" t="s">
        <v>188</v>
      </c>
      <c r="E68" s="17" t="s">
        <v>301</v>
      </c>
      <c r="F68" s="29"/>
      <c r="G68" s="118"/>
      <c r="H68" s="36">
        <f t="shared" si="12"/>
        <v>3496.9000000000005</v>
      </c>
      <c r="I68" s="36">
        <f t="shared" si="12"/>
        <v>0</v>
      </c>
      <c r="J68" s="36">
        <f t="shared" si="12"/>
        <v>3486.2</v>
      </c>
      <c r="K68" s="246"/>
      <c r="L68" s="321"/>
      <c r="M68" s="246"/>
    </row>
    <row r="69" spans="1:13" ht="15.75">
      <c r="A69" s="26" t="s">
        <v>302</v>
      </c>
      <c r="B69" s="40" t="s">
        <v>84</v>
      </c>
      <c r="C69" s="21" t="s">
        <v>184</v>
      </c>
      <c r="D69" s="28" t="s">
        <v>188</v>
      </c>
      <c r="E69" s="17" t="s">
        <v>301</v>
      </c>
      <c r="F69" s="29"/>
      <c r="G69" s="101" t="s">
        <v>266</v>
      </c>
      <c r="H69" s="36">
        <f>4594+516+6563-516-6000+32.1-4000+2307.8</f>
        <v>3496.9000000000005</v>
      </c>
      <c r="I69" s="36"/>
      <c r="J69" s="246">
        <v>3486.2</v>
      </c>
      <c r="K69" s="246"/>
      <c r="L69" s="321"/>
      <c r="M69" s="246"/>
    </row>
    <row r="70" spans="1:13" s="22" customFormat="1" ht="15.75">
      <c r="A70" s="102" t="s">
        <v>65</v>
      </c>
      <c r="B70" s="93" t="s">
        <v>84</v>
      </c>
      <c r="C70" s="16" t="s">
        <v>184</v>
      </c>
      <c r="D70" s="31" t="s">
        <v>185</v>
      </c>
      <c r="E70" s="91"/>
      <c r="F70" s="103"/>
      <c r="G70" s="119"/>
      <c r="H70" s="79">
        <f>H73+H76+H71</f>
        <v>3632.3999999999996</v>
      </c>
      <c r="I70" s="79">
        <f>I73+I76+I71</f>
        <v>0</v>
      </c>
      <c r="J70" s="79">
        <f>J73+J76+J71</f>
        <v>2936.3</v>
      </c>
      <c r="K70" s="254"/>
      <c r="L70" s="307">
        <f>J70/H70*100</f>
        <v>80.83636163418127</v>
      </c>
      <c r="M70" s="306"/>
    </row>
    <row r="71" spans="1:13" s="22" customFormat="1" ht="21" customHeight="1">
      <c r="A71" s="34" t="s">
        <v>395</v>
      </c>
      <c r="B71" s="40" t="s">
        <v>84</v>
      </c>
      <c r="C71" s="21" t="s">
        <v>184</v>
      </c>
      <c r="D71" s="28" t="s">
        <v>185</v>
      </c>
      <c r="E71" s="17" t="s">
        <v>396</v>
      </c>
      <c r="F71" s="103"/>
      <c r="G71" s="177"/>
      <c r="H71" s="36">
        <f>H72</f>
        <v>2198.5</v>
      </c>
      <c r="I71" s="36">
        <f>I72</f>
        <v>0</v>
      </c>
      <c r="J71" s="36">
        <f>J72</f>
        <v>2197.6</v>
      </c>
      <c r="K71" s="254"/>
      <c r="L71" s="106"/>
      <c r="M71" s="254"/>
    </row>
    <row r="72" spans="1:13" s="22" customFormat="1" ht="15.75">
      <c r="A72" s="26" t="s">
        <v>142</v>
      </c>
      <c r="B72" s="40" t="s">
        <v>84</v>
      </c>
      <c r="C72" s="21" t="s">
        <v>184</v>
      </c>
      <c r="D72" s="28" t="s">
        <v>185</v>
      </c>
      <c r="E72" s="17" t="s">
        <v>396</v>
      </c>
      <c r="F72" s="103" t="s">
        <v>266</v>
      </c>
      <c r="G72" s="177" t="s">
        <v>266</v>
      </c>
      <c r="H72" s="36">
        <f>4341.3+165-2307.8</f>
        <v>2198.5</v>
      </c>
      <c r="I72" s="36"/>
      <c r="J72" s="246">
        <v>2197.6</v>
      </c>
      <c r="K72" s="254"/>
      <c r="L72" s="106"/>
      <c r="M72" s="254"/>
    </row>
    <row r="73" spans="1:13" ht="26.25">
      <c r="A73" s="45" t="s">
        <v>107</v>
      </c>
      <c r="B73" s="41" t="s">
        <v>84</v>
      </c>
      <c r="C73" s="21" t="s">
        <v>184</v>
      </c>
      <c r="D73" s="29" t="s">
        <v>185</v>
      </c>
      <c r="E73" s="17" t="s">
        <v>74</v>
      </c>
      <c r="F73" s="29"/>
      <c r="G73" s="76"/>
      <c r="H73" s="37">
        <f aca="true" t="shared" si="13" ref="H73:J74">H74</f>
        <v>1071.6</v>
      </c>
      <c r="I73" s="37">
        <f t="shared" si="13"/>
        <v>0</v>
      </c>
      <c r="J73" s="37">
        <f t="shared" si="13"/>
        <v>516.4</v>
      </c>
      <c r="K73" s="246"/>
      <c r="L73" s="321"/>
      <c r="M73" s="246"/>
    </row>
    <row r="74" spans="1:13" ht="15.75">
      <c r="A74" s="34" t="s">
        <v>325</v>
      </c>
      <c r="B74" s="42" t="s">
        <v>84</v>
      </c>
      <c r="C74" s="21" t="s">
        <v>184</v>
      </c>
      <c r="D74" s="30" t="s">
        <v>185</v>
      </c>
      <c r="E74" s="19" t="s">
        <v>326</v>
      </c>
      <c r="F74" s="30"/>
      <c r="G74" s="110"/>
      <c r="H74" s="35">
        <f t="shared" si="13"/>
        <v>1071.6</v>
      </c>
      <c r="I74" s="35">
        <f t="shared" si="13"/>
        <v>0</v>
      </c>
      <c r="J74" s="35">
        <f t="shared" si="13"/>
        <v>516.4</v>
      </c>
      <c r="K74" s="246"/>
      <c r="L74" s="321"/>
      <c r="M74" s="246"/>
    </row>
    <row r="75" spans="1:13" ht="15.75">
      <c r="A75" s="62" t="s">
        <v>142</v>
      </c>
      <c r="B75" s="42" t="s">
        <v>84</v>
      </c>
      <c r="C75" s="21" t="s">
        <v>184</v>
      </c>
      <c r="D75" s="30" t="s">
        <v>185</v>
      </c>
      <c r="E75" s="19" t="s">
        <v>326</v>
      </c>
      <c r="F75" s="30"/>
      <c r="G75" s="110" t="s">
        <v>266</v>
      </c>
      <c r="H75" s="35">
        <v>1071.6</v>
      </c>
      <c r="I75" s="310"/>
      <c r="J75" s="246">
        <v>516.4</v>
      </c>
      <c r="K75" s="246"/>
      <c r="L75" s="321"/>
      <c r="M75" s="246"/>
    </row>
    <row r="76" spans="1:13" ht="15.75">
      <c r="A76" s="62" t="s">
        <v>127</v>
      </c>
      <c r="B76" s="42" t="s">
        <v>84</v>
      </c>
      <c r="C76" s="21" t="s">
        <v>184</v>
      </c>
      <c r="D76" s="30" t="s">
        <v>185</v>
      </c>
      <c r="E76" s="19" t="s">
        <v>128</v>
      </c>
      <c r="F76" s="30"/>
      <c r="G76" s="110"/>
      <c r="H76" s="35">
        <f aca="true" t="shared" si="14" ref="H76:J77">H77</f>
        <v>362.3</v>
      </c>
      <c r="I76" s="35">
        <f t="shared" si="14"/>
        <v>0</v>
      </c>
      <c r="J76" s="35">
        <f t="shared" si="14"/>
        <v>222.3</v>
      </c>
      <c r="K76" s="246"/>
      <c r="L76" s="321"/>
      <c r="M76" s="246"/>
    </row>
    <row r="77" spans="1:13" ht="39">
      <c r="A77" s="61" t="s">
        <v>348</v>
      </c>
      <c r="B77" s="42" t="s">
        <v>84</v>
      </c>
      <c r="C77" s="21" t="s">
        <v>184</v>
      </c>
      <c r="D77" s="30" t="s">
        <v>185</v>
      </c>
      <c r="E77" s="19" t="s">
        <v>281</v>
      </c>
      <c r="F77" s="30"/>
      <c r="G77" s="110"/>
      <c r="H77" s="35">
        <f t="shared" si="14"/>
        <v>362.3</v>
      </c>
      <c r="I77" s="35">
        <f t="shared" si="14"/>
        <v>0</v>
      </c>
      <c r="J77" s="35">
        <f t="shared" si="14"/>
        <v>222.3</v>
      </c>
      <c r="K77" s="246"/>
      <c r="L77" s="321"/>
      <c r="M77" s="246"/>
    </row>
    <row r="78" spans="1:13" ht="15.75">
      <c r="A78" s="62" t="s">
        <v>142</v>
      </c>
      <c r="B78" s="42" t="s">
        <v>84</v>
      </c>
      <c r="C78" s="21" t="s">
        <v>184</v>
      </c>
      <c r="D78" s="30" t="s">
        <v>185</v>
      </c>
      <c r="E78" s="19" t="s">
        <v>281</v>
      </c>
      <c r="F78" s="30" t="s">
        <v>266</v>
      </c>
      <c r="G78" s="110" t="s">
        <v>266</v>
      </c>
      <c r="H78" s="35">
        <f>2000-1000-1000+362.3</f>
        <v>362.3</v>
      </c>
      <c r="I78" s="310"/>
      <c r="J78" s="246">
        <v>222.3</v>
      </c>
      <c r="K78" s="246"/>
      <c r="L78" s="321"/>
      <c r="M78" s="246"/>
    </row>
    <row r="79" spans="1:13" s="22" customFormat="1" ht="15.75">
      <c r="A79" s="106" t="s">
        <v>23</v>
      </c>
      <c r="B79" s="94" t="s">
        <v>84</v>
      </c>
      <c r="C79" s="91" t="s">
        <v>196</v>
      </c>
      <c r="D79" s="103" t="s">
        <v>123</v>
      </c>
      <c r="E79" s="91"/>
      <c r="F79" s="89"/>
      <c r="G79" s="86"/>
      <c r="H79" s="75">
        <f>H80+H95+H117</f>
        <v>272364.2</v>
      </c>
      <c r="I79" s="75">
        <f>I80+I95+I117</f>
        <v>54173.299999999996</v>
      </c>
      <c r="J79" s="75">
        <f>J80+J95+J117</f>
        <v>223629.9</v>
      </c>
      <c r="K79" s="75">
        <f>K80+K95+K117</f>
        <v>49980.6</v>
      </c>
      <c r="L79" s="307">
        <f>J79/H79*100</f>
        <v>82.10693622730153</v>
      </c>
      <c r="M79" s="306">
        <f>K79/I79*100</f>
        <v>92.26057855068825</v>
      </c>
    </row>
    <row r="80" spans="1:13" s="22" customFormat="1" ht="15.75">
      <c r="A80" s="8" t="s">
        <v>68</v>
      </c>
      <c r="B80" s="41" t="s">
        <v>84</v>
      </c>
      <c r="C80" s="17" t="s">
        <v>196</v>
      </c>
      <c r="D80" s="29" t="s">
        <v>182</v>
      </c>
      <c r="E80" s="17"/>
      <c r="F80" s="7"/>
      <c r="G80" s="47"/>
      <c r="H80" s="37">
        <f>H84+H87+H91+H94</f>
        <v>81881.9</v>
      </c>
      <c r="I80" s="37">
        <f>I88+I81</f>
        <v>0</v>
      </c>
      <c r="J80" s="37">
        <f>J88+J81+J92</f>
        <v>66917.2</v>
      </c>
      <c r="K80" s="37">
        <f>K88+K81</f>
        <v>0</v>
      </c>
      <c r="L80" s="106"/>
      <c r="M80" s="254"/>
    </row>
    <row r="81" spans="1:13" s="22" customFormat="1" ht="26.25">
      <c r="A81" s="170" t="s">
        <v>352</v>
      </c>
      <c r="B81" s="41" t="s">
        <v>84</v>
      </c>
      <c r="C81" s="17" t="s">
        <v>196</v>
      </c>
      <c r="D81" s="29" t="s">
        <v>182</v>
      </c>
      <c r="E81" s="21" t="s">
        <v>353</v>
      </c>
      <c r="F81" s="28"/>
      <c r="G81" s="110"/>
      <c r="H81" s="37">
        <f>H82+H85</f>
        <v>31364</v>
      </c>
      <c r="I81" s="37">
        <f>I82+I85</f>
        <v>0</v>
      </c>
      <c r="J81" s="37">
        <f>J82+J85</f>
        <v>31019</v>
      </c>
      <c r="K81" s="37">
        <f>K82+K85</f>
        <v>0</v>
      </c>
      <c r="L81" s="106"/>
      <c r="M81" s="254"/>
    </row>
    <row r="82" spans="1:13" s="22" customFormat="1" ht="51.75">
      <c r="A82" s="170" t="s">
        <v>354</v>
      </c>
      <c r="B82" s="41" t="s">
        <v>84</v>
      </c>
      <c r="C82" s="17" t="s">
        <v>196</v>
      </c>
      <c r="D82" s="29" t="s">
        <v>182</v>
      </c>
      <c r="E82" s="21" t="s">
        <v>355</v>
      </c>
      <c r="F82" s="28"/>
      <c r="G82" s="110"/>
      <c r="H82" s="37">
        <f aca="true" t="shared" si="15" ref="H82:K83">H83</f>
        <v>15682</v>
      </c>
      <c r="I82" s="37">
        <f t="shared" si="15"/>
        <v>0</v>
      </c>
      <c r="J82" s="37">
        <f t="shared" si="15"/>
        <v>15509.5</v>
      </c>
      <c r="K82" s="37">
        <f t="shared" si="15"/>
        <v>0</v>
      </c>
      <c r="L82" s="106"/>
      <c r="M82" s="254"/>
    </row>
    <row r="83" spans="1:13" s="22" customFormat="1" ht="26.25">
      <c r="A83" s="170" t="s">
        <v>356</v>
      </c>
      <c r="B83" s="41" t="s">
        <v>84</v>
      </c>
      <c r="C83" s="17" t="s">
        <v>196</v>
      </c>
      <c r="D83" s="29" t="s">
        <v>182</v>
      </c>
      <c r="E83" s="21" t="s">
        <v>357</v>
      </c>
      <c r="F83" s="28"/>
      <c r="G83" s="110"/>
      <c r="H83" s="37">
        <f t="shared" si="15"/>
        <v>15682</v>
      </c>
      <c r="I83" s="37">
        <f t="shared" si="15"/>
        <v>0</v>
      </c>
      <c r="J83" s="37">
        <f t="shared" si="15"/>
        <v>15509.5</v>
      </c>
      <c r="K83" s="37">
        <f t="shared" si="15"/>
        <v>0</v>
      </c>
      <c r="L83" s="106"/>
      <c r="M83" s="254"/>
    </row>
    <row r="84" spans="1:13" s="22" customFormat="1" ht="15.75">
      <c r="A84" s="171" t="s">
        <v>358</v>
      </c>
      <c r="B84" s="41" t="s">
        <v>84</v>
      </c>
      <c r="C84" s="17" t="s">
        <v>196</v>
      </c>
      <c r="D84" s="29" t="s">
        <v>182</v>
      </c>
      <c r="E84" s="21" t="s">
        <v>357</v>
      </c>
      <c r="F84" s="28" t="s">
        <v>359</v>
      </c>
      <c r="G84" s="110" t="s">
        <v>359</v>
      </c>
      <c r="H84" s="37">
        <f>15682+21699.4+0.6-21700</f>
        <v>15682</v>
      </c>
      <c r="I84" s="37"/>
      <c r="J84" s="246">
        <v>15509.5</v>
      </c>
      <c r="K84" s="254"/>
      <c r="L84" s="106"/>
      <c r="M84" s="254"/>
    </row>
    <row r="85" spans="1:13" s="22" customFormat="1" ht="39">
      <c r="A85" s="170" t="s">
        <v>360</v>
      </c>
      <c r="B85" s="41" t="s">
        <v>84</v>
      </c>
      <c r="C85" s="17" t="s">
        <v>196</v>
      </c>
      <c r="D85" s="29" t="s">
        <v>182</v>
      </c>
      <c r="E85" s="21" t="s">
        <v>361</v>
      </c>
      <c r="F85" s="28"/>
      <c r="G85" s="110"/>
      <c r="H85" s="37">
        <f aca="true" t="shared" si="16" ref="H85:K86">H86</f>
        <v>15682</v>
      </c>
      <c r="I85" s="37">
        <f t="shared" si="16"/>
        <v>0</v>
      </c>
      <c r="J85" s="37">
        <f t="shared" si="16"/>
        <v>15509.5</v>
      </c>
      <c r="K85" s="37">
        <f t="shared" si="16"/>
        <v>0</v>
      </c>
      <c r="L85" s="106"/>
      <c r="M85" s="254"/>
    </row>
    <row r="86" spans="1:13" s="22" customFormat="1" ht="26.25">
      <c r="A86" s="170" t="s">
        <v>362</v>
      </c>
      <c r="B86" s="41" t="s">
        <v>84</v>
      </c>
      <c r="C86" s="17" t="s">
        <v>196</v>
      </c>
      <c r="D86" s="29" t="s">
        <v>182</v>
      </c>
      <c r="E86" s="21" t="s">
        <v>363</v>
      </c>
      <c r="F86" s="28"/>
      <c r="G86" s="110"/>
      <c r="H86" s="37">
        <f t="shared" si="16"/>
        <v>15682</v>
      </c>
      <c r="I86" s="37">
        <f t="shared" si="16"/>
        <v>0</v>
      </c>
      <c r="J86" s="37">
        <f t="shared" si="16"/>
        <v>15509.5</v>
      </c>
      <c r="K86" s="37">
        <f t="shared" si="16"/>
        <v>0</v>
      </c>
      <c r="L86" s="106"/>
      <c r="M86" s="254"/>
    </row>
    <row r="87" spans="1:13" s="22" customFormat="1" ht="15.75">
      <c r="A87" s="171" t="s">
        <v>358</v>
      </c>
      <c r="B87" s="41" t="s">
        <v>84</v>
      </c>
      <c r="C87" s="17" t="s">
        <v>196</v>
      </c>
      <c r="D87" s="29" t="s">
        <v>182</v>
      </c>
      <c r="E87" s="21" t="s">
        <v>363</v>
      </c>
      <c r="F87" s="28" t="s">
        <v>359</v>
      </c>
      <c r="G87" s="110" t="s">
        <v>359</v>
      </c>
      <c r="H87" s="37">
        <f>15682+707.2+3265+572.9+7.8-1287.9-3265</f>
        <v>15682</v>
      </c>
      <c r="I87" s="37"/>
      <c r="J87" s="246">
        <v>15509.5</v>
      </c>
      <c r="K87" s="254"/>
      <c r="L87" s="106"/>
      <c r="M87" s="254"/>
    </row>
    <row r="88" spans="1:13" s="22" customFormat="1" ht="15.75">
      <c r="A88" s="24" t="s">
        <v>24</v>
      </c>
      <c r="B88" s="41" t="s">
        <v>84</v>
      </c>
      <c r="C88" s="17" t="s">
        <v>196</v>
      </c>
      <c r="D88" s="29" t="s">
        <v>182</v>
      </c>
      <c r="E88" s="17" t="s">
        <v>25</v>
      </c>
      <c r="F88" s="29"/>
      <c r="G88" s="76"/>
      <c r="H88" s="37">
        <f>H89</f>
        <v>50217.9</v>
      </c>
      <c r="I88" s="37">
        <f>I89</f>
        <v>0</v>
      </c>
      <c r="J88" s="37">
        <f>J89</f>
        <v>35608.9</v>
      </c>
      <c r="K88" s="254"/>
      <c r="L88" s="106"/>
      <c r="M88" s="254"/>
    </row>
    <row r="89" spans="1:13" s="22" customFormat="1" ht="15.75">
      <c r="A89" s="45" t="s">
        <v>197</v>
      </c>
      <c r="B89" s="41" t="s">
        <v>84</v>
      </c>
      <c r="C89" s="17" t="s">
        <v>196</v>
      </c>
      <c r="D89" s="29" t="s">
        <v>182</v>
      </c>
      <c r="E89" s="17" t="s">
        <v>198</v>
      </c>
      <c r="F89" s="29"/>
      <c r="G89" s="76"/>
      <c r="H89" s="37">
        <f>H90+H91</f>
        <v>50217.9</v>
      </c>
      <c r="I89" s="37">
        <f>I90+I91</f>
        <v>0</v>
      </c>
      <c r="J89" s="37">
        <f>J90+J91</f>
        <v>35608.9</v>
      </c>
      <c r="K89" s="254"/>
      <c r="L89" s="106"/>
      <c r="M89" s="254"/>
    </row>
    <row r="90" spans="1:13" s="22" customFormat="1" ht="15.75">
      <c r="A90" s="62" t="s">
        <v>177</v>
      </c>
      <c r="B90" s="41" t="s">
        <v>84</v>
      </c>
      <c r="C90" s="17" t="s">
        <v>196</v>
      </c>
      <c r="D90" s="29" t="s">
        <v>182</v>
      </c>
      <c r="E90" s="17" t="s">
        <v>198</v>
      </c>
      <c r="F90" s="29"/>
      <c r="G90" s="76" t="s">
        <v>85</v>
      </c>
      <c r="H90" s="37"/>
      <c r="I90" s="37"/>
      <c r="J90" s="247"/>
      <c r="K90" s="254"/>
      <c r="L90" s="106"/>
      <c r="M90" s="254"/>
    </row>
    <row r="91" spans="1:13" s="22" customFormat="1" ht="15.75">
      <c r="A91" s="62" t="s">
        <v>142</v>
      </c>
      <c r="B91" s="41" t="s">
        <v>84</v>
      </c>
      <c r="C91" s="17" t="s">
        <v>196</v>
      </c>
      <c r="D91" s="29" t="s">
        <v>182</v>
      </c>
      <c r="E91" s="17" t="s">
        <v>198</v>
      </c>
      <c r="F91" s="29"/>
      <c r="G91" s="76" t="s">
        <v>266</v>
      </c>
      <c r="H91" s="37">
        <v>50217.9</v>
      </c>
      <c r="I91" s="37"/>
      <c r="J91" s="246">
        <v>35608.9</v>
      </c>
      <c r="K91" s="254"/>
      <c r="L91" s="106"/>
      <c r="M91" s="254"/>
    </row>
    <row r="92" spans="1:13" s="22" customFormat="1" ht="15.75">
      <c r="A92" s="24" t="s">
        <v>127</v>
      </c>
      <c r="B92" s="41" t="s">
        <v>84</v>
      </c>
      <c r="C92" s="17" t="s">
        <v>196</v>
      </c>
      <c r="D92" s="29" t="s">
        <v>182</v>
      </c>
      <c r="E92" s="17" t="s">
        <v>128</v>
      </c>
      <c r="F92" s="29"/>
      <c r="G92" s="76"/>
      <c r="H92" s="37">
        <f aca="true" t="shared" si="17" ref="H92:J93">H93</f>
        <v>300</v>
      </c>
      <c r="I92" s="37">
        <f t="shared" si="17"/>
        <v>0</v>
      </c>
      <c r="J92" s="37">
        <f t="shared" si="17"/>
        <v>289.3</v>
      </c>
      <c r="K92" s="254"/>
      <c r="L92" s="106"/>
      <c r="M92" s="254"/>
    </row>
    <row r="93" spans="1:13" s="22" customFormat="1" ht="39">
      <c r="A93" s="61" t="s">
        <v>439</v>
      </c>
      <c r="B93" s="41" t="s">
        <v>84</v>
      </c>
      <c r="C93" s="17" t="s">
        <v>196</v>
      </c>
      <c r="D93" s="29" t="s">
        <v>182</v>
      </c>
      <c r="E93" s="17" t="s">
        <v>440</v>
      </c>
      <c r="F93" s="29"/>
      <c r="G93" s="76"/>
      <c r="H93" s="37">
        <f t="shared" si="17"/>
        <v>300</v>
      </c>
      <c r="I93" s="37">
        <f t="shared" si="17"/>
        <v>0</v>
      </c>
      <c r="J93" s="37">
        <f t="shared" si="17"/>
        <v>289.3</v>
      </c>
      <c r="K93" s="254"/>
      <c r="L93" s="106"/>
      <c r="M93" s="254"/>
    </row>
    <row r="94" spans="1:13" s="22" customFormat="1" ht="15.75">
      <c r="A94" s="62" t="s">
        <v>142</v>
      </c>
      <c r="B94" s="41" t="s">
        <v>84</v>
      </c>
      <c r="C94" s="17" t="s">
        <v>196</v>
      </c>
      <c r="D94" s="29" t="s">
        <v>182</v>
      </c>
      <c r="E94" s="17" t="s">
        <v>440</v>
      </c>
      <c r="F94" s="29" t="s">
        <v>266</v>
      </c>
      <c r="G94" s="76" t="s">
        <v>266</v>
      </c>
      <c r="H94" s="37">
        <v>300</v>
      </c>
      <c r="I94" s="37"/>
      <c r="J94" s="246">
        <v>289.3</v>
      </c>
      <c r="K94" s="254"/>
      <c r="L94" s="106"/>
      <c r="M94" s="254"/>
    </row>
    <row r="95" spans="1:13" s="22" customFormat="1" ht="15.75">
      <c r="A95" s="102" t="s">
        <v>3</v>
      </c>
      <c r="B95" s="94" t="s">
        <v>84</v>
      </c>
      <c r="C95" s="91" t="s">
        <v>196</v>
      </c>
      <c r="D95" s="103" t="s">
        <v>183</v>
      </c>
      <c r="E95" s="91"/>
      <c r="F95" s="103"/>
      <c r="G95" s="111"/>
      <c r="H95" s="75">
        <f>H99+H101+H104+H107+H110+H115+H116</f>
        <v>128627.59999999999</v>
      </c>
      <c r="I95" s="75">
        <f>I100+I113+I105+I96</f>
        <v>54173.299999999996</v>
      </c>
      <c r="J95" s="75">
        <f>J99+J101+J104+J107+J110+J115+J116</f>
        <v>98070.8</v>
      </c>
      <c r="K95" s="75">
        <f>K100+K113+K105+K96</f>
        <v>49980.6</v>
      </c>
      <c r="L95" s="307">
        <f>J95/H95*100</f>
        <v>76.24397874173195</v>
      </c>
      <c r="M95" s="306">
        <f>K95/I95*100</f>
        <v>92.26057855068825</v>
      </c>
    </row>
    <row r="96" spans="1:13" s="22" customFormat="1" ht="32.25" customHeight="1">
      <c r="A96" s="34" t="s">
        <v>202</v>
      </c>
      <c r="B96" s="40" t="s">
        <v>84</v>
      </c>
      <c r="C96" s="21" t="s">
        <v>196</v>
      </c>
      <c r="D96" s="28" t="s">
        <v>183</v>
      </c>
      <c r="E96" s="21" t="s">
        <v>69</v>
      </c>
      <c r="F96" s="28"/>
      <c r="G96" s="110"/>
      <c r="H96" s="37">
        <f aca="true" t="shared" si="18" ref="H96:J98">H97</f>
        <v>1409.5</v>
      </c>
      <c r="I96" s="37">
        <f t="shared" si="18"/>
        <v>0</v>
      </c>
      <c r="J96" s="37">
        <f t="shared" si="18"/>
        <v>1409.5</v>
      </c>
      <c r="K96" s="254"/>
      <c r="L96" s="106"/>
      <c r="M96" s="254"/>
    </row>
    <row r="97" spans="1:13" s="22" customFormat="1" ht="55.5" customHeight="1">
      <c r="A97" s="34" t="s">
        <v>203</v>
      </c>
      <c r="B97" s="40" t="s">
        <v>84</v>
      </c>
      <c r="C97" s="21" t="s">
        <v>196</v>
      </c>
      <c r="D97" s="28" t="s">
        <v>183</v>
      </c>
      <c r="E97" s="21" t="s">
        <v>204</v>
      </c>
      <c r="F97" s="28"/>
      <c r="G97" s="110"/>
      <c r="H97" s="37">
        <f t="shared" si="18"/>
        <v>1409.5</v>
      </c>
      <c r="I97" s="37">
        <f t="shared" si="18"/>
        <v>0</v>
      </c>
      <c r="J97" s="37">
        <f t="shared" si="18"/>
        <v>1409.5</v>
      </c>
      <c r="K97" s="254"/>
      <c r="L97" s="106"/>
      <c r="M97" s="254"/>
    </row>
    <row r="98" spans="1:13" s="22" customFormat="1" ht="31.5" customHeight="1">
      <c r="A98" s="34" t="s">
        <v>397</v>
      </c>
      <c r="B98" s="40" t="s">
        <v>84</v>
      </c>
      <c r="C98" s="21" t="s">
        <v>196</v>
      </c>
      <c r="D98" s="28" t="s">
        <v>183</v>
      </c>
      <c r="E98" s="21" t="s">
        <v>237</v>
      </c>
      <c r="F98" s="28"/>
      <c r="G98" s="110"/>
      <c r="H98" s="37">
        <f t="shared" si="18"/>
        <v>1409.5</v>
      </c>
      <c r="I98" s="37">
        <f t="shared" si="18"/>
        <v>0</v>
      </c>
      <c r="J98" s="37">
        <f t="shared" si="18"/>
        <v>1409.5</v>
      </c>
      <c r="K98" s="254"/>
      <c r="L98" s="106"/>
      <c r="M98" s="254"/>
    </row>
    <row r="99" spans="1:13" s="22" customFormat="1" ht="15.75">
      <c r="A99" s="34" t="s">
        <v>398</v>
      </c>
      <c r="B99" s="40" t="s">
        <v>84</v>
      </c>
      <c r="C99" s="21" t="s">
        <v>196</v>
      </c>
      <c r="D99" s="28" t="s">
        <v>183</v>
      </c>
      <c r="E99" s="21" t="s">
        <v>237</v>
      </c>
      <c r="F99" s="28" t="s">
        <v>66</v>
      </c>
      <c r="G99" s="110" t="s">
        <v>66</v>
      </c>
      <c r="H99" s="37">
        <v>1409.5</v>
      </c>
      <c r="I99" s="75"/>
      <c r="J99" s="246">
        <v>1409.5</v>
      </c>
      <c r="K99" s="254"/>
      <c r="L99" s="106"/>
      <c r="M99" s="254"/>
    </row>
    <row r="100" spans="1:13" s="22" customFormat="1" ht="15.75">
      <c r="A100" s="24" t="s">
        <v>54</v>
      </c>
      <c r="B100" s="41" t="s">
        <v>84</v>
      </c>
      <c r="C100" s="17" t="s">
        <v>196</v>
      </c>
      <c r="D100" s="29" t="s">
        <v>183</v>
      </c>
      <c r="E100" s="17" t="s">
        <v>73</v>
      </c>
      <c r="F100" s="29" t="s">
        <v>49</v>
      </c>
      <c r="G100" s="76"/>
      <c r="H100" s="37">
        <f>H101+H103+H104</f>
        <v>25669.6</v>
      </c>
      <c r="I100" s="37">
        <f>I101+I103+I104</f>
        <v>0</v>
      </c>
      <c r="J100" s="37">
        <f>J101+J103+J104</f>
        <v>5095.4</v>
      </c>
      <c r="K100" s="254"/>
      <c r="L100" s="106"/>
      <c r="M100" s="254"/>
    </row>
    <row r="101" spans="1:13" ht="15.75">
      <c r="A101" s="194" t="s">
        <v>142</v>
      </c>
      <c r="B101" s="41" t="s">
        <v>84</v>
      </c>
      <c r="C101" s="17" t="s">
        <v>196</v>
      </c>
      <c r="D101" s="29" t="s">
        <v>183</v>
      </c>
      <c r="E101" s="17" t="s">
        <v>277</v>
      </c>
      <c r="F101" s="29"/>
      <c r="G101" s="76" t="s">
        <v>266</v>
      </c>
      <c r="H101" s="37">
        <v>2875</v>
      </c>
      <c r="I101" s="37"/>
      <c r="J101" s="246">
        <v>2595.4</v>
      </c>
      <c r="K101" s="246"/>
      <c r="L101" s="321"/>
      <c r="M101" s="246"/>
    </row>
    <row r="102" spans="1:13" ht="15.75">
      <c r="A102" s="173" t="s">
        <v>339</v>
      </c>
      <c r="B102" s="41" t="s">
        <v>84</v>
      </c>
      <c r="C102" s="17" t="s">
        <v>196</v>
      </c>
      <c r="D102" s="29" t="s">
        <v>183</v>
      </c>
      <c r="E102" s="17" t="s">
        <v>340</v>
      </c>
      <c r="F102" s="29"/>
      <c r="G102" s="76"/>
      <c r="H102" s="37">
        <f>H103+H104</f>
        <v>22794.6</v>
      </c>
      <c r="I102" s="37">
        <f>I103+I104</f>
        <v>0</v>
      </c>
      <c r="J102" s="37">
        <f>J103+J104</f>
        <v>2500</v>
      </c>
      <c r="K102" s="246"/>
      <c r="L102" s="321"/>
      <c r="M102" s="246"/>
    </row>
    <row r="103" spans="1:13" ht="15.75">
      <c r="A103" s="34" t="s">
        <v>177</v>
      </c>
      <c r="B103" s="195" t="s">
        <v>84</v>
      </c>
      <c r="C103" s="196" t="s">
        <v>196</v>
      </c>
      <c r="D103" s="197" t="s">
        <v>183</v>
      </c>
      <c r="E103" s="196" t="s">
        <v>340</v>
      </c>
      <c r="F103" s="197" t="s">
        <v>266</v>
      </c>
      <c r="G103" s="198" t="s">
        <v>85</v>
      </c>
      <c r="H103" s="199"/>
      <c r="I103" s="199"/>
      <c r="J103" s="246"/>
      <c r="K103" s="246"/>
      <c r="L103" s="321"/>
      <c r="M103" s="246"/>
    </row>
    <row r="104" spans="1:13" ht="15.75">
      <c r="A104" s="194" t="s">
        <v>142</v>
      </c>
      <c r="B104" s="195" t="s">
        <v>84</v>
      </c>
      <c r="C104" s="196" t="s">
        <v>196</v>
      </c>
      <c r="D104" s="197" t="s">
        <v>183</v>
      </c>
      <c r="E104" s="196" t="s">
        <v>340</v>
      </c>
      <c r="F104" s="197"/>
      <c r="G104" s="198" t="s">
        <v>266</v>
      </c>
      <c r="H104" s="199">
        <v>22794.6</v>
      </c>
      <c r="I104" s="199"/>
      <c r="J104" s="63">
        <v>2500</v>
      </c>
      <c r="K104" s="246"/>
      <c r="L104" s="321"/>
      <c r="M104" s="246"/>
    </row>
    <row r="105" spans="1:13" ht="26.25">
      <c r="A105" s="44" t="s">
        <v>364</v>
      </c>
      <c r="B105" s="41" t="s">
        <v>84</v>
      </c>
      <c r="C105" s="17" t="s">
        <v>196</v>
      </c>
      <c r="D105" s="29" t="s">
        <v>183</v>
      </c>
      <c r="E105" s="17" t="s">
        <v>365</v>
      </c>
      <c r="F105" s="29"/>
      <c r="G105" s="76"/>
      <c r="H105" s="37">
        <f>H106</f>
        <v>77984.79999999999</v>
      </c>
      <c r="I105" s="37">
        <f>I106</f>
        <v>54173.299999999996</v>
      </c>
      <c r="J105" s="37">
        <f>J106</f>
        <v>73792.1</v>
      </c>
      <c r="K105" s="246">
        <f>K106</f>
        <v>49980.6</v>
      </c>
      <c r="L105" s="321"/>
      <c r="M105" s="246"/>
    </row>
    <row r="106" spans="1:13" ht="15.75">
      <c r="A106" s="173" t="s">
        <v>366</v>
      </c>
      <c r="B106" s="41" t="s">
        <v>84</v>
      </c>
      <c r="C106" s="17" t="s">
        <v>196</v>
      </c>
      <c r="D106" s="29" t="s">
        <v>183</v>
      </c>
      <c r="E106" s="17" t="s">
        <v>425</v>
      </c>
      <c r="F106" s="29"/>
      <c r="G106" s="76"/>
      <c r="H106" s="37">
        <f>H107+H110</f>
        <v>77984.79999999999</v>
      </c>
      <c r="I106" s="37">
        <f>I107+I110</f>
        <v>54173.299999999996</v>
      </c>
      <c r="J106" s="37">
        <f>J107+J110</f>
        <v>73792.1</v>
      </c>
      <c r="K106" s="246">
        <f>K110</f>
        <v>49980.6</v>
      </c>
      <c r="L106" s="321"/>
      <c r="M106" s="246"/>
    </row>
    <row r="107" spans="1:13" ht="15.75">
      <c r="A107" s="34" t="s">
        <v>433</v>
      </c>
      <c r="B107" s="41" t="s">
        <v>84</v>
      </c>
      <c r="C107" s="17" t="s">
        <v>196</v>
      </c>
      <c r="D107" s="29" t="s">
        <v>183</v>
      </c>
      <c r="E107" s="17" t="s">
        <v>425</v>
      </c>
      <c r="F107" s="29"/>
      <c r="G107" s="76" t="s">
        <v>66</v>
      </c>
      <c r="H107" s="37">
        <f>H108+H109</f>
        <v>23811.5</v>
      </c>
      <c r="I107" s="37">
        <f>I108+I109</f>
        <v>0</v>
      </c>
      <c r="J107" s="37">
        <f>J108+J109</f>
        <v>23811.5</v>
      </c>
      <c r="K107" s="246"/>
      <c r="L107" s="321"/>
      <c r="M107" s="246"/>
    </row>
    <row r="108" spans="1:13" ht="67.5" customHeight="1">
      <c r="A108" s="44" t="s">
        <v>422</v>
      </c>
      <c r="B108" s="41" t="s">
        <v>84</v>
      </c>
      <c r="C108" s="17" t="s">
        <v>196</v>
      </c>
      <c r="D108" s="29" t="s">
        <v>183</v>
      </c>
      <c r="E108" s="17" t="s">
        <v>425</v>
      </c>
      <c r="F108" s="29" t="s">
        <v>66</v>
      </c>
      <c r="G108" s="76" t="s">
        <v>66</v>
      </c>
      <c r="H108" s="37">
        <f>2100</f>
        <v>2100</v>
      </c>
      <c r="I108" s="37"/>
      <c r="J108" s="246">
        <v>2100</v>
      </c>
      <c r="K108" s="246"/>
      <c r="L108" s="321"/>
      <c r="M108" s="246"/>
    </row>
    <row r="109" spans="1:13" ht="84" customHeight="1">
      <c r="A109" s="44" t="s">
        <v>424</v>
      </c>
      <c r="B109" s="41" t="s">
        <v>84</v>
      </c>
      <c r="C109" s="17" t="s">
        <v>196</v>
      </c>
      <c r="D109" s="29" t="s">
        <v>183</v>
      </c>
      <c r="E109" s="17" t="s">
        <v>432</v>
      </c>
      <c r="F109" s="29"/>
      <c r="G109" s="76" t="s">
        <v>66</v>
      </c>
      <c r="H109" s="37">
        <v>21711.5</v>
      </c>
      <c r="I109" s="37"/>
      <c r="J109" s="246">
        <v>21711.5</v>
      </c>
      <c r="K109" s="246"/>
      <c r="L109" s="321"/>
      <c r="M109" s="246"/>
    </row>
    <row r="110" spans="1:13" ht="44.25" customHeight="1">
      <c r="A110" s="44" t="s">
        <v>434</v>
      </c>
      <c r="B110" s="41" t="s">
        <v>84</v>
      </c>
      <c r="C110" s="17" t="s">
        <v>196</v>
      </c>
      <c r="D110" s="29" t="s">
        <v>183</v>
      </c>
      <c r="E110" s="17" t="s">
        <v>425</v>
      </c>
      <c r="F110" s="29" t="s">
        <v>66</v>
      </c>
      <c r="G110" s="76" t="s">
        <v>423</v>
      </c>
      <c r="H110" s="37">
        <f>H111+H112</f>
        <v>54173.299999999996</v>
      </c>
      <c r="I110" s="37">
        <f>I111+I112</f>
        <v>54173.299999999996</v>
      </c>
      <c r="J110" s="37">
        <f>J111+J112</f>
        <v>49980.6</v>
      </c>
      <c r="K110" s="246">
        <f>K111+K112</f>
        <v>49980.6</v>
      </c>
      <c r="L110" s="321"/>
      <c r="M110" s="246"/>
    </row>
    <row r="111" spans="1:13" ht="71.25" customHeight="1">
      <c r="A111" s="44" t="s">
        <v>424</v>
      </c>
      <c r="B111" s="41" t="s">
        <v>84</v>
      </c>
      <c r="C111" s="17" t="s">
        <v>196</v>
      </c>
      <c r="D111" s="29" t="s">
        <v>183</v>
      </c>
      <c r="E111" s="17" t="s">
        <v>425</v>
      </c>
      <c r="F111" s="29" t="s">
        <v>66</v>
      </c>
      <c r="G111" s="76" t="s">
        <v>423</v>
      </c>
      <c r="H111" s="37">
        <f>10382.1</f>
        <v>10382.1</v>
      </c>
      <c r="I111" s="37">
        <v>10382.1</v>
      </c>
      <c r="J111" s="246">
        <v>6189.4</v>
      </c>
      <c r="K111" s="246">
        <v>6189.4</v>
      </c>
      <c r="L111" s="321"/>
      <c r="M111" s="246"/>
    </row>
    <row r="112" spans="1:13" ht="71.25" customHeight="1">
      <c r="A112" s="44" t="s">
        <v>422</v>
      </c>
      <c r="B112" s="41" t="s">
        <v>84</v>
      </c>
      <c r="C112" s="17" t="s">
        <v>196</v>
      </c>
      <c r="D112" s="29" t="s">
        <v>183</v>
      </c>
      <c r="E112" s="17" t="s">
        <v>425</v>
      </c>
      <c r="F112" s="29" t="s">
        <v>66</v>
      </c>
      <c r="G112" s="76" t="s">
        <v>423</v>
      </c>
      <c r="H112" s="37">
        <v>43791.2</v>
      </c>
      <c r="I112" s="37">
        <v>43791.2</v>
      </c>
      <c r="J112" s="246">
        <v>43791.2</v>
      </c>
      <c r="K112" s="246">
        <v>43791.2</v>
      </c>
      <c r="L112" s="321"/>
      <c r="M112" s="246"/>
    </row>
    <row r="113" spans="1:13" ht="15.75">
      <c r="A113" s="25" t="s">
        <v>127</v>
      </c>
      <c r="B113" s="41" t="s">
        <v>84</v>
      </c>
      <c r="C113" s="17" t="s">
        <v>196</v>
      </c>
      <c r="D113" s="29" t="s">
        <v>183</v>
      </c>
      <c r="E113" s="17" t="s">
        <v>128</v>
      </c>
      <c r="F113" s="29"/>
      <c r="G113" s="76"/>
      <c r="H113" s="37">
        <f>H114</f>
        <v>23563.7</v>
      </c>
      <c r="I113" s="37">
        <f>I114</f>
        <v>0</v>
      </c>
      <c r="J113" s="37">
        <f>J114</f>
        <v>17773.8</v>
      </c>
      <c r="K113" s="246"/>
      <c r="L113" s="321"/>
      <c r="M113" s="246"/>
    </row>
    <row r="114" spans="1:13" ht="26.25">
      <c r="A114" s="97" t="s">
        <v>346</v>
      </c>
      <c r="B114" s="41" t="s">
        <v>84</v>
      </c>
      <c r="C114" s="17" t="s">
        <v>196</v>
      </c>
      <c r="D114" s="29" t="s">
        <v>183</v>
      </c>
      <c r="E114" s="19" t="s">
        <v>256</v>
      </c>
      <c r="F114" s="7"/>
      <c r="G114" s="47"/>
      <c r="H114" s="37">
        <f>H115+H116</f>
        <v>23563.7</v>
      </c>
      <c r="I114" s="37">
        <f>I115+I116</f>
        <v>0</v>
      </c>
      <c r="J114" s="37">
        <f>J115+J116</f>
        <v>17773.8</v>
      </c>
      <c r="K114" s="246"/>
      <c r="L114" s="321"/>
      <c r="M114" s="246"/>
    </row>
    <row r="115" spans="1:13" ht="15.75">
      <c r="A115" s="34" t="s">
        <v>205</v>
      </c>
      <c r="B115" s="41" t="s">
        <v>84</v>
      </c>
      <c r="C115" s="17" t="s">
        <v>196</v>
      </c>
      <c r="D115" s="29" t="s">
        <v>183</v>
      </c>
      <c r="E115" s="19" t="s">
        <v>256</v>
      </c>
      <c r="F115" s="7"/>
      <c r="G115" s="47" t="s">
        <v>66</v>
      </c>
      <c r="H115" s="37">
        <v>21605</v>
      </c>
      <c r="I115" s="37"/>
      <c r="J115" s="246">
        <v>15815.1</v>
      </c>
      <c r="K115" s="246"/>
      <c r="L115" s="321"/>
      <c r="M115" s="246"/>
    </row>
    <row r="116" spans="1:13" ht="15.75">
      <c r="A116" s="194" t="s">
        <v>142</v>
      </c>
      <c r="B116" s="41" t="s">
        <v>84</v>
      </c>
      <c r="C116" s="17" t="s">
        <v>196</v>
      </c>
      <c r="D116" s="29" t="s">
        <v>183</v>
      </c>
      <c r="E116" s="19" t="s">
        <v>256</v>
      </c>
      <c r="F116" s="29"/>
      <c r="G116" s="101" t="s">
        <v>266</v>
      </c>
      <c r="H116" s="37">
        <v>1958.7</v>
      </c>
      <c r="I116" s="37"/>
      <c r="J116" s="246">
        <v>1958.7</v>
      </c>
      <c r="K116" s="246"/>
      <c r="L116" s="321"/>
      <c r="M116" s="246"/>
    </row>
    <row r="117" spans="1:13" ht="18.75" customHeight="1">
      <c r="A117" s="104" t="s">
        <v>130</v>
      </c>
      <c r="B117" s="94" t="s">
        <v>84</v>
      </c>
      <c r="C117" s="91" t="s">
        <v>196</v>
      </c>
      <c r="D117" s="103" t="s">
        <v>187</v>
      </c>
      <c r="E117" s="91"/>
      <c r="F117" s="103"/>
      <c r="G117" s="120"/>
      <c r="H117" s="75">
        <f>H120+H122+H124+H126+H128+H131</f>
        <v>61854.7</v>
      </c>
      <c r="I117" s="75">
        <f>I118+I129</f>
        <v>0</v>
      </c>
      <c r="J117" s="75">
        <f>J118+J129</f>
        <v>58641.9</v>
      </c>
      <c r="K117" s="75">
        <f>K118+K129</f>
        <v>0</v>
      </c>
      <c r="L117" s="307">
        <f>J117/H117*100</f>
        <v>94.8058918724042</v>
      </c>
      <c r="M117" s="306"/>
    </row>
    <row r="118" spans="1:13" ht="15.75">
      <c r="A118" s="24" t="s">
        <v>130</v>
      </c>
      <c r="B118" s="41" t="s">
        <v>84</v>
      </c>
      <c r="C118" s="17" t="s">
        <v>196</v>
      </c>
      <c r="D118" s="29" t="s">
        <v>187</v>
      </c>
      <c r="E118" s="19" t="s">
        <v>278</v>
      </c>
      <c r="F118" s="30"/>
      <c r="G118" s="78"/>
      <c r="H118" s="35">
        <f>H119+H121+H123+H125+H127</f>
        <v>57943.899999999994</v>
      </c>
      <c r="I118" s="35">
        <f>I119+I121+I123+I125+I127</f>
        <v>0</v>
      </c>
      <c r="J118" s="35">
        <f>J119+J121+J123+J125+J127</f>
        <v>54731.1</v>
      </c>
      <c r="K118" s="35">
        <f>K119+K121+K123+K125+K127</f>
        <v>0</v>
      </c>
      <c r="L118" s="321"/>
      <c r="M118" s="246"/>
    </row>
    <row r="119" spans="1:13" s="22" customFormat="1" ht="15.75">
      <c r="A119" s="98" t="s">
        <v>304</v>
      </c>
      <c r="B119" s="41" t="s">
        <v>84</v>
      </c>
      <c r="C119" s="17" t="s">
        <v>196</v>
      </c>
      <c r="D119" s="29" t="s">
        <v>187</v>
      </c>
      <c r="E119" s="19" t="s">
        <v>305</v>
      </c>
      <c r="F119" s="7"/>
      <c r="G119" s="47"/>
      <c r="H119" s="37">
        <f>H120</f>
        <v>15191.800000000001</v>
      </c>
      <c r="I119" s="37">
        <f>I120</f>
        <v>0</v>
      </c>
      <c r="J119" s="37">
        <f>J120</f>
        <v>13775.2</v>
      </c>
      <c r="K119" s="37">
        <f>K120</f>
        <v>0</v>
      </c>
      <c r="L119" s="106"/>
      <c r="M119" s="254"/>
    </row>
    <row r="120" spans="1:13" ht="15.75">
      <c r="A120" s="26" t="s">
        <v>142</v>
      </c>
      <c r="B120" s="41" t="s">
        <v>84</v>
      </c>
      <c r="C120" s="17" t="s">
        <v>196</v>
      </c>
      <c r="D120" s="29" t="s">
        <v>187</v>
      </c>
      <c r="E120" s="19" t="s">
        <v>305</v>
      </c>
      <c r="F120" s="7"/>
      <c r="G120" s="47" t="s">
        <v>266</v>
      </c>
      <c r="H120" s="37">
        <f>15224+10000-7000+657.9-6884+3193.9</f>
        <v>15191.800000000001</v>
      </c>
      <c r="I120" s="157"/>
      <c r="J120" s="246">
        <v>13775.2</v>
      </c>
      <c r="K120" s="246"/>
      <c r="L120" s="321"/>
      <c r="M120" s="246"/>
    </row>
    <row r="121" spans="1:13" ht="39">
      <c r="A121" s="161" t="s">
        <v>279</v>
      </c>
      <c r="B121" s="29" t="s">
        <v>84</v>
      </c>
      <c r="C121" s="17" t="s">
        <v>196</v>
      </c>
      <c r="D121" s="29" t="s">
        <v>187</v>
      </c>
      <c r="E121" s="19" t="s">
        <v>280</v>
      </c>
      <c r="F121" s="7"/>
      <c r="G121" s="47"/>
      <c r="H121" s="37">
        <f>H122</f>
        <v>7908.2</v>
      </c>
      <c r="I121" s="37">
        <f>I122</f>
        <v>0</v>
      </c>
      <c r="J121" s="37">
        <f>J122</f>
        <v>6620.3</v>
      </c>
      <c r="K121" s="246"/>
      <c r="L121" s="321"/>
      <c r="M121" s="246"/>
    </row>
    <row r="122" spans="1:13" ht="15.75">
      <c r="A122" s="26" t="s">
        <v>142</v>
      </c>
      <c r="B122" s="41" t="s">
        <v>84</v>
      </c>
      <c r="C122" s="17" t="s">
        <v>196</v>
      </c>
      <c r="D122" s="29" t="s">
        <v>187</v>
      </c>
      <c r="E122" s="19" t="s">
        <v>280</v>
      </c>
      <c r="F122" s="7"/>
      <c r="G122" s="47" t="s">
        <v>266</v>
      </c>
      <c r="H122" s="37">
        <f>10000-8000+1000-1000+5970.5-62.3</f>
        <v>7908.2</v>
      </c>
      <c r="I122" s="157"/>
      <c r="J122" s="246">
        <v>6620.3</v>
      </c>
      <c r="K122" s="246"/>
      <c r="L122" s="321"/>
      <c r="M122" s="246"/>
    </row>
    <row r="123" spans="1:13" ht="15.75">
      <c r="A123" s="8" t="s">
        <v>133</v>
      </c>
      <c r="B123" s="41" t="s">
        <v>84</v>
      </c>
      <c r="C123" s="17" t="s">
        <v>196</v>
      </c>
      <c r="D123" s="29" t="s">
        <v>187</v>
      </c>
      <c r="E123" s="19" t="s">
        <v>306</v>
      </c>
      <c r="F123" s="7"/>
      <c r="G123" s="47"/>
      <c r="H123" s="37">
        <f>H124</f>
        <v>6232.1</v>
      </c>
      <c r="I123" s="37">
        <f>I124</f>
        <v>0</v>
      </c>
      <c r="J123" s="37">
        <f>J124</f>
        <v>6232.1</v>
      </c>
      <c r="K123" s="246"/>
      <c r="L123" s="321"/>
      <c r="M123" s="246"/>
    </row>
    <row r="124" spans="1:13" ht="15.75">
      <c r="A124" s="26" t="s">
        <v>142</v>
      </c>
      <c r="B124" s="41" t="s">
        <v>84</v>
      </c>
      <c r="C124" s="17" t="s">
        <v>196</v>
      </c>
      <c r="D124" s="29" t="s">
        <v>187</v>
      </c>
      <c r="E124" s="19" t="s">
        <v>306</v>
      </c>
      <c r="F124" s="7"/>
      <c r="G124" s="47" t="s">
        <v>266</v>
      </c>
      <c r="H124" s="37">
        <v>6232.1</v>
      </c>
      <c r="I124" s="157"/>
      <c r="J124" s="246">
        <v>6232.1</v>
      </c>
      <c r="K124" s="246"/>
      <c r="L124" s="321"/>
      <c r="M124" s="246"/>
    </row>
    <row r="125" spans="1:13" ht="15.75">
      <c r="A125" s="8" t="s">
        <v>141</v>
      </c>
      <c r="B125" s="41" t="s">
        <v>84</v>
      </c>
      <c r="C125" s="17" t="s">
        <v>196</v>
      </c>
      <c r="D125" s="29" t="s">
        <v>187</v>
      </c>
      <c r="E125" s="19" t="s">
        <v>307</v>
      </c>
      <c r="F125" s="7"/>
      <c r="G125" s="47"/>
      <c r="H125" s="37">
        <f>H126</f>
        <v>3501.1</v>
      </c>
      <c r="I125" s="37">
        <f>I126</f>
        <v>0</v>
      </c>
      <c r="J125" s="37">
        <f>J126</f>
        <v>3210</v>
      </c>
      <c r="K125" s="246"/>
      <c r="L125" s="321"/>
      <c r="M125" s="246"/>
    </row>
    <row r="126" spans="1:13" ht="15.75">
      <c r="A126" s="26" t="s">
        <v>142</v>
      </c>
      <c r="B126" s="41" t="s">
        <v>84</v>
      </c>
      <c r="C126" s="17" t="s">
        <v>196</v>
      </c>
      <c r="D126" s="29" t="s">
        <v>187</v>
      </c>
      <c r="E126" s="19" t="s">
        <v>307</v>
      </c>
      <c r="F126" s="7"/>
      <c r="G126" s="47" t="s">
        <v>266</v>
      </c>
      <c r="H126" s="37">
        <v>3501.1</v>
      </c>
      <c r="I126" s="157"/>
      <c r="J126" s="63">
        <v>3210</v>
      </c>
      <c r="K126" s="246"/>
      <c r="L126" s="321"/>
      <c r="M126" s="246"/>
    </row>
    <row r="127" spans="1:13" ht="15.75">
      <c r="A127" s="8" t="s">
        <v>308</v>
      </c>
      <c r="B127" s="41" t="s">
        <v>84</v>
      </c>
      <c r="C127" s="17" t="s">
        <v>196</v>
      </c>
      <c r="D127" s="29" t="s">
        <v>187</v>
      </c>
      <c r="E127" s="19" t="s">
        <v>309</v>
      </c>
      <c r="F127" s="7"/>
      <c r="G127" s="52"/>
      <c r="H127" s="37">
        <f>H128</f>
        <v>25110.7</v>
      </c>
      <c r="I127" s="37">
        <f>I128</f>
        <v>0</v>
      </c>
      <c r="J127" s="37">
        <f>J128</f>
        <v>24893.5</v>
      </c>
      <c r="K127" s="246"/>
      <c r="L127" s="321"/>
      <c r="M127" s="246"/>
    </row>
    <row r="128" spans="1:13" ht="15.75">
      <c r="A128" s="26" t="s">
        <v>142</v>
      </c>
      <c r="B128" s="41" t="s">
        <v>84</v>
      </c>
      <c r="C128" s="17" t="s">
        <v>196</v>
      </c>
      <c r="D128" s="29" t="s">
        <v>187</v>
      </c>
      <c r="E128" s="19" t="s">
        <v>309</v>
      </c>
      <c r="F128" s="7"/>
      <c r="G128" s="47" t="s">
        <v>266</v>
      </c>
      <c r="H128" s="37">
        <v>25110.7</v>
      </c>
      <c r="I128" s="37"/>
      <c r="J128" s="246">
        <v>24893.5</v>
      </c>
      <c r="K128" s="246"/>
      <c r="L128" s="321"/>
      <c r="M128" s="246"/>
    </row>
    <row r="129" spans="1:13" ht="15.75">
      <c r="A129" s="8" t="s">
        <v>127</v>
      </c>
      <c r="B129" s="41" t="s">
        <v>84</v>
      </c>
      <c r="C129" s="17" t="s">
        <v>196</v>
      </c>
      <c r="D129" s="29" t="s">
        <v>187</v>
      </c>
      <c r="E129" s="19" t="s">
        <v>128</v>
      </c>
      <c r="F129" s="7"/>
      <c r="G129" s="47"/>
      <c r="H129" s="37">
        <f aca="true" t="shared" si="19" ref="H129:J130">H130</f>
        <v>3910.7999999999997</v>
      </c>
      <c r="I129" s="37">
        <f t="shared" si="19"/>
        <v>0</v>
      </c>
      <c r="J129" s="37">
        <f t="shared" si="19"/>
        <v>3910.8</v>
      </c>
      <c r="K129" s="246"/>
      <c r="L129" s="321"/>
      <c r="M129" s="246"/>
    </row>
    <row r="130" spans="1:13" ht="39">
      <c r="A130" s="97" t="s">
        <v>347</v>
      </c>
      <c r="B130" s="41" t="s">
        <v>84</v>
      </c>
      <c r="C130" s="17" t="s">
        <v>196</v>
      </c>
      <c r="D130" s="29" t="s">
        <v>187</v>
      </c>
      <c r="E130" s="19" t="s">
        <v>275</v>
      </c>
      <c r="F130" s="7"/>
      <c r="G130" s="47"/>
      <c r="H130" s="37">
        <f t="shared" si="19"/>
        <v>3910.7999999999997</v>
      </c>
      <c r="I130" s="37">
        <f t="shared" si="19"/>
        <v>0</v>
      </c>
      <c r="J130" s="37">
        <f t="shared" si="19"/>
        <v>3910.8</v>
      </c>
      <c r="K130" s="246"/>
      <c r="L130" s="321"/>
      <c r="M130" s="246"/>
    </row>
    <row r="131" spans="1:13" ht="15.75">
      <c r="A131" s="26" t="s">
        <v>142</v>
      </c>
      <c r="B131" s="41" t="s">
        <v>84</v>
      </c>
      <c r="C131" s="17" t="s">
        <v>196</v>
      </c>
      <c r="D131" s="29" t="s">
        <v>187</v>
      </c>
      <c r="E131" s="19" t="s">
        <v>275</v>
      </c>
      <c r="F131" s="7"/>
      <c r="G131" s="47" t="s">
        <v>266</v>
      </c>
      <c r="H131" s="37">
        <f>4180-4180+69.2+3841.7-0.1</f>
        <v>3910.7999999999997</v>
      </c>
      <c r="I131" s="157"/>
      <c r="J131" s="246">
        <v>3910.8</v>
      </c>
      <c r="K131" s="246"/>
      <c r="L131" s="321"/>
      <c r="M131" s="246"/>
    </row>
    <row r="132" spans="1:13" ht="15.75">
      <c r="A132" s="137" t="s">
        <v>43</v>
      </c>
      <c r="B132" s="95" t="s">
        <v>84</v>
      </c>
      <c r="C132" s="90" t="s">
        <v>201</v>
      </c>
      <c r="D132" s="103" t="s">
        <v>123</v>
      </c>
      <c r="E132" s="91"/>
      <c r="F132" s="89"/>
      <c r="G132" s="86"/>
      <c r="H132" s="75">
        <f>H135+H137</f>
        <v>1076.8</v>
      </c>
      <c r="I132" s="75"/>
      <c r="J132" s="75">
        <f>J135+J137</f>
        <v>1076.7</v>
      </c>
      <c r="K132" s="246"/>
      <c r="L132" s="307">
        <f>J132/H132*100</f>
        <v>99.9907132243685</v>
      </c>
      <c r="M132" s="306"/>
    </row>
    <row r="133" spans="1:13" ht="15.75">
      <c r="A133" s="34" t="s">
        <v>446</v>
      </c>
      <c r="B133" s="135" t="s">
        <v>84</v>
      </c>
      <c r="C133" s="126" t="s">
        <v>201</v>
      </c>
      <c r="D133" s="31" t="s">
        <v>187</v>
      </c>
      <c r="E133" s="16"/>
      <c r="F133" s="31"/>
      <c r="G133" s="109"/>
      <c r="H133" s="79">
        <f>H134</f>
        <v>5.8</v>
      </c>
      <c r="I133" s="79">
        <f>I134</f>
        <v>0</v>
      </c>
      <c r="J133" s="79">
        <f>J134</f>
        <v>5.8</v>
      </c>
      <c r="K133" s="246"/>
      <c r="L133" s="321"/>
      <c r="M133" s="246"/>
    </row>
    <row r="134" spans="1:13" ht="15.75">
      <c r="A134" s="26" t="s">
        <v>324</v>
      </c>
      <c r="B134" s="41" t="s">
        <v>84</v>
      </c>
      <c r="C134" s="17" t="s">
        <v>201</v>
      </c>
      <c r="D134" s="29" t="s">
        <v>187</v>
      </c>
      <c r="E134" s="17" t="s">
        <v>445</v>
      </c>
      <c r="F134" s="28"/>
      <c r="G134" s="85"/>
      <c r="H134" s="36">
        <f>H135</f>
        <v>5.8</v>
      </c>
      <c r="I134" s="36"/>
      <c r="J134" s="36">
        <f>J135</f>
        <v>5.8</v>
      </c>
      <c r="K134" s="246"/>
      <c r="L134" s="321"/>
      <c r="M134" s="246"/>
    </row>
    <row r="135" spans="1:13" ht="15.75">
      <c r="A135" s="26" t="s">
        <v>142</v>
      </c>
      <c r="B135" s="41" t="s">
        <v>84</v>
      </c>
      <c r="C135" s="17" t="s">
        <v>201</v>
      </c>
      <c r="D135" s="29" t="s">
        <v>187</v>
      </c>
      <c r="E135" s="17" t="s">
        <v>445</v>
      </c>
      <c r="F135" s="29"/>
      <c r="G135" s="76" t="s">
        <v>266</v>
      </c>
      <c r="H135" s="36">
        <v>5.8</v>
      </c>
      <c r="I135" s="36">
        <f>I136</f>
        <v>0</v>
      </c>
      <c r="J135" s="246">
        <v>5.8</v>
      </c>
      <c r="K135" s="246"/>
      <c r="L135" s="321"/>
      <c r="M135" s="246"/>
    </row>
    <row r="136" spans="1:13" ht="26.25">
      <c r="A136" s="97" t="s">
        <v>343</v>
      </c>
      <c r="B136" s="42" t="s">
        <v>84</v>
      </c>
      <c r="C136" s="19" t="s">
        <v>201</v>
      </c>
      <c r="D136" s="30" t="s">
        <v>196</v>
      </c>
      <c r="E136" s="19" t="s">
        <v>254</v>
      </c>
      <c r="F136" s="30"/>
      <c r="G136" s="78"/>
      <c r="H136" s="35">
        <f>H137</f>
        <v>1071</v>
      </c>
      <c r="I136" s="35">
        <f>I137</f>
        <v>0</v>
      </c>
      <c r="J136" s="35">
        <f>J137</f>
        <v>1070.9</v>
      </c>
      <c r="K136" s="246"/>
      <c r="L136" s="321"/>
      <c r="M136" s="246"/>
    </row>
    <row r="137" spans="1:13" ht="15.75">
      <c r="A137" s="26" t="s">
        <v>324</v>
      </c>
      <c r="B137" s="42" t="s">
        <v>84</v>
      </c>
      <c r="C137" s="19" t="s">
        <v>201</v>
      </c>
      <c r="D137" s="30" t="s">
        <v>196</v>
      </c>
      <c r="E137" s="19" t="s">
        <v>254</v>
      </c>
      <c r="F137" s="30"/>
      <c r="G137" s="47" t="s">
        <v>4</v>
      </c>
      <c r="H137" s="35">
        <v>1071</v>
      </c>
      <c r="I137" s="310"/>
      <c r="J137" s="246">
        <v>1070.9</v>
      </c>
      <c r="K137" s="246"/>
      <c r="L137" s="321"/>
      <c r="M137" s="246"/>
    </row>
    <row r="138" spans="1:13" ht="18" customHeight="1">
      <c r="A138" s="106" t="s">
        <v>6</v>
      </c>
      <c r="B138" s="94" t="s">
        <v>84</v>
      </c>
      <c r="C138" s="91" t="s">
        <v>190</v>
      </c>
      <c r="D138" s="103" t="s">
        <v>123</v>
      </c>
      <c r="E138" s="91"/>
      <c r="F138" s="89" t="s">
        <v>49</v>
      </c>
      <c r="G138" s="86"/>
      <c r="H138" s="75">
        <f>H139+H153</f>
        <v>17015</v>
      </c>
      <c r="I138" s="75">
        <f>I139+I153</f>
        <v>0</v>
      </c>
      <c r="J138" s="75">
        <f>J139+J153</f>
        <v>16482.5</v>
      </c>
      <c r="K138" s="246"/>
      <c r="L138" s="307">
        <f>J138/H138*100</f>
        <v>96.87040846312077</v>
      </c>
      <c r="M138" s="306"/>
    </row>
    <row r="139" spans="1:13" ht="15.75">
      <c r="A139" s="102" t="s">
        <v>7</v>
      </c>
      <c r="B139" s="94" t="s">
        <v>84</v>
      </c>
      <c r="C139" s="16" t="s">
        <v>190</v>
      </c>
      <c r="D139" s="31" t="s">
        <v>182</v>
      </c>
      <c r="E139" s="16"/>
      <c r="F139" s="31"/>
      <c r="G139" s="109"/>
      <c r="H139" s="79">
        <f>H140+H150</f>
        <v>15271.3</v>
      </c>
      <c r="I139" s="79">
        <f>I140+I150</f>
        <v>0</v>
      </c>
      <c r="J139" s="79">
        <f>J140+J150</f>
        <v>14738.8</v>
      </c>
      <c r="K139" s="246"/>
      <c r="L139" s="307">
        <f>J139/H139*100</f>
        <v>96.51306699495132</v>
      </c>
      <c r="M139" s="306"/>
    </row>
    <row r="140" spans="1:13" ht="26.25">
      <c r="A140" s="34" t="s">
        <v>202</v>
      </c>
      <c r="B140" s="41" t="s">
        <v>84</v>
      </c>
      <c r="C140" s="21" t="s">
        <v>190</v>
      </c>
      <c r="D140" s="28" t="s">
        <v>182</v>
      </c>
      <c r="E140" s="21" t="s">
        <v>69</v>
      </c>
      <c r="F140" s="28"/>
      <c r="G140" s="110"/>
      <c r="H140" s="36">
        <f>H141</f>
        <v>1319.3</v>
      </c>
      <c r="I140" s="36">
        <f>I141</f>
        <v>0</v>
      </c>
      <c r="J140" s="36">
        <f>J141</f>
        <v>819.3</v>
      </c>
      <c r="K140" s="246"/>
      <c r="L140" s="321"/>
      <c r="M140" s="246"/>
    </row>
    <row r="141" spans="1:13" s="22" customFormat="1" ht="51.75">
      <c r="A141" s="34" t="s">
        <v>203</v>
      </c>
      <c r="B141" s="41" t="s">
        <v>84</v>
      </c>
      <c r="C141" s="21" t="s">
        <v>190</v>
      </c>
      <c r="D141" s="28" t="s">
        <v>182</v>
      </c>
      <c r="E141" s="21" t="s">
        <v>204</v>
      </c>
      <c r="F141" s="28"/>
      <c r="G141" s="110"/>
      <c r="H141" s="36">
        <f>H142+H146</f>
        <v>1319.3</v>
      </c>
      <c r="I141" s="36">
        <f>I142+I146</f>
        <v>0</v>
      </c>
      <c r="J141" s="36">
        <f>J142+J146</f>
        <v>819.3</v>
      </c>
      <c r="K141" s="254"/>
      <c r="L141" s="106"/>
      <c r="M141" s="254"/>
    </row>
    <row r="142" spans="1:13" ht="26.25">
      <c r="A142" s="34" t="s">
        <v>202</v>
      </c>
      <c r="B142" s="40" t="s">
        <v>84</v>
      </c>
      <c r="C142" s="21" t="s">
        <v>190</v>
      </c>
      <c r="D142" s="28" t="s">
        <v>182</v>
      </c>
      <c r="E142" s="21" t="s">
        <v>69</v>
      </c>
      <c r="F142" s="28"/>
      <c r="G142" s="101"/>
      <c r="H142" s="37">
        <f aca="true" t="shared" si="20" ref="H142:I144">H143</f>
        <v>500</v>
      </c>
      <c r="I142" s="37">
        <f t="shared" si="20"/>
        <v>0</v>
      </c>
      <c r="J142" s="246"/>
      <c r="K142" s="246"/>
      <c r="L142" s="321"/>
      <c r="M142" s="246"/>
    </row>
    <row r="143" spans="1:13" ht="26.25">
      <c r="A143" s="34" t="s">
        <v>264</v>
      </c>
      <c r="B143" s="40" t="s">
        <v>84</v>
      </c>
      <c r="C143" s="21" t="s">
        <v>190</v>
      </c>
      <c r="D143" s="28" t="s">
        <v>182</v>
      </c>
      <c r="E143" s="21" t="s">
        <v>204</v>
      </c>
      <c r="F143" s="28"/>
      <c r="G143" s="101"/>
      <c r="H143" s="37">
        <f t="shared" si="20"/>
        <v>500</v>
      </c>
      <c r="I143" s="37">
        <f t="shared" si="20"/>
        <v>0</v>
      </c>
      <c r="J143" s="246"/>
      <c r="K143" s="246"/>
      <c r="L143" s="321"/>
      <c r="M143" s="246"/>
    </row>
    <row r="144" spans="1:13" ht="69.75" customHeight="1">
      <c r="A144" s="34" t="s">
        <v>327</v>
      </c>
      <c r="B144" s="41" t="s">
        <v>84</v>
      </c>
      <c r="C144" s="21" t="s">
        <v>190</v>
      </c>
      <c r="D144" s="28" t="s">
        <v>182</v>
      </c>
      <c r="E144" s="21" t="s">
        <v>237</v>
      </c>
      <c r="F144" s="28"/>
      <c r="G144" s="101"/>
      <c r="H144" s="37">
        <f t="shared" si="20"/>
        <v>500</v>
      </c>
      <c r="I144" s="37">
        <f t="shared" si="20"/>
        <v>0</v>
      </c>
      <c r="J144" s="246"/>
      <c r="K144" s="246"/>
      <c r="L144" s="321"/>
      <c r="M144" s="246"/>
    </row>
    <row r="145" spans="1:13" ht="23.25" customHeight="1">
      <c r="A145" s="34" t="s">
        <v>205</v>
      </c>
      <c r="B145" s="40" t="s">
        <v>84</v>
      </c>
      <c r="C145" s="21" t="s">
        <v>190</v>
      </c>
      <c r="D145" s="28" t="s">
        <v>182</v>
      </c>
      <c r="E145" s="21" t="s">
        <v>237</v>
      </c>
      <c r="F145" s="28" t="s">
        <v>66</v>
      </c>
      <c r="G145" s="101" t="s">
        <v>66</v>
      </c>
      <c r="H145" s="37">
        <v>500</v>
      </c>
      <c r="I145" s="37"/>
      <c r="J145" s="246"/>
      <c r="K145" s="246"/>
      <c r="L145" s="321"/>
      <c r="M145" s="246"/>
    </row>
    <row r="146" spans="1:13" ht="27" customHeight="1">
      <c r="A146" s="34" t="s">
        <v>202</v>
      </c>
      <c r="B146" s="40" t="s">
        <v>84</v>
      </c>
      <c r="C146" s="21" t="s">
        <v>190</v>
      </c>
      <c r="D146" s="28" t="s">
        <v>182</v>
      </c>
      <c r="E146" s="21" t="s">
        <v>69</v>
      </c>
      <c r="F146" s="28"/>
      <c r="G146" s="101"/>
      <c r="H146" s="37">
        <f aca="true" t="shared" si="21" ref="H146:J148">H147</f>
        <v>819.3</v>
      </c>
      <c r="I146" s="37">
        <f t="shared" si="21"/>
        <v>0</v>
      </c>
      <c r="J146" s="37">
        <f t="shared" si="21"/>
        <v>819.3</v>
      </c>
      <c r="K146" s="246"/>
      <c r="L146" s="321"/>
      <c r="M146" s="246"/>
    </row>
    <row r="147" spans="1:13" ht="57" customHeight="1">
      <c r="A147" s="34" t="s">
        <v>203</v>
      </c>
      <c r="B147" s="40" t="s">
        <v>84</v>
      </c>
      <c r="C147" s="21" t="s">
        <v>190</v>
      </c>
      <c r="D147" s="28" t="s">
        <v>182</v>
      </c>
      <c r="E147" s="21" t="s">
        <v>204</v>
      </c>
      <c r="F147" s="28"/>
      <c r="G147" s="101"/>
      <c r="H147" s="37">
        <f t="shared" si="21"/>
        <v>819.3</v>
      </c>
      <c r="I147" s="37">
        <f t="shared" si="21"/>
        <v>0</v>
      </c>
      <c r="J147" s="37">
        <f t="shared" si="21"/>
        <v>819.3</v>
      </c>
      <c r="K147" s="246"/>
      <c r="L147" s="321"/>
      <c r="M147" s="246"/>
    </row>
    <row r="148" spans="1:13" ht="41.25" customHeight="1">
      <c r="A148" s="34" t="s">
        <v>399</v>
      </c>
      <c r="B148" s="40" t="s">
        <v>84</v>
      </c>
      <c r="C148" s="21" t="s">
        <v>190</v>
      </c>
      <c r="D148" s="28" t="s">
        <v>182</v>
      </c>
      <c r="E148" s="21" t="s">
        <v>237</v>
      </c>
      <c r="F148" s="28"/>
      <c r="G148" s="101"/>
      <c r="H148" s="37">
        <f t="shared" si="21"/>
        <v>819.3</v>
      </c>
      <c r="I148" s="37">
        <f t="shared" si="21"/>
        <v>0</v>
      </c>
      <c r="J148" s="37">
        <f t="shared" si="21"/>
        <v>819.3</v>
      </c>
      <c r="K148" s="246"/>
      <c r="L148" s="321"/>
      <c r="M148" s="246"/>
    </row>
    <row r="149" spans="1:13" ht="14.25" customHeight="1">
      <c r="A149" s="34" t="s">
        <v>205</v>
      </c>
      <c r="B149" s="40" t="s">
        <v>84</v>
      </c>
      <c r="C149" s="21" t="s">
        <v>190</v>
      </c>
      <c r="D149" s="28" t="s">
        <v>182</v>
      </c>
      <c r="E149" s="21" t="s">
        <v>237</v>
      </c>
      <c r="F149" s="28" t="s">
        <v>66</v>
      </c>
      <c r="G149" s="101" t="s">
        <v>66</v>
      </c>
      <c r="H149" s="37">
        <v>819.3</v>
      </c>
      <c r="I149" s="37"/>
      <c r="J149" s="246">
        <v>819.3</v>
      </c>
      <c r="K149" s="246"/>
      <c r="L149" s="321"/>
      <c r="M149" s="246"/>
    </row>
    <row r="150" spans="1:13" ht="17.25" customHeight="1">
      <c r="A150" s="34" t="s">
        <v>8</v>
      </c>
      <c r="B150" s="40" t="s">
        <v>84</v>
      </c>
      <c r="C150" s="21" t="s">
        <v>190</v>
      </c>
      <c r="D150" s="28" t="s">
        <v>182</v>
      </c>
      <c r="E150" s="21" t="s">
        <v>26</v>
      </c>
      <c r="F150" s="28"/>
      <c r="G150" s="101"/>
      <c r="H150" s="37">
        <f aca="true" t="shared" si="22" ref="H150:J151">H151</f>
        <v>13952</v>
      </c>
      <c r="I150" s="37">
        <f t="shared" si="22"/>
        <v>0</v>
      </c>
      <c r="J150" s="37">
        <f t="shared" si="22"/>
        <v>13919.5</v>
      </c>
      <c r="K150" s="246"/>
      <c r="L150" s="307">
        <f>J150/H150*100</f>
        <v>99.76705848623854</v>
      </c>
      <c r="M150" s="306"/>
    </row>
    <row r="151" spans="1:13" ht="15" customHeight="1">
      <c r="A151" s="34" t="s">
        <v>27</v>
      </c>
      <c r="B151" s="40" t="s">
        <v>84</v>
      </c>
      <c r="C151" s="21" t="s">
        <v>190</v>
      </c>
      <c r="D151" s="28" t="s">
        <v>182</v>
      </c>
      <c r="E151" s="21" t="s">
        <v>206</v>
      </c>
      <c r="F151" s="28"/>
      <c r="G151" s="101"/>
      <c r="H151" s="37">
        <f t="shared" si="22"/>
        <v>13952</v>
      </c>
      <c r="I151" s="37">
        <f t="shared" si="22"/>
        <v>0</v>
      </c>
      <c r="J151" s="37">
        <f t="shared" si="22"/>
        <v>13919.5</v>
      </c>
      <c r="K151" s="246"/>
      <c r="L151" s="321"/>
      <c r="M151" s="246"/>
    </row>
    <row r="152" spans="1:13" ht="12" customHeight="1">
      <c r="A152" s="34" t="s">
        <v>168</v>
      </c>
      <c r="B152" s="40" t="s">
        <v>84</v>
      </c>
      <c r="C152" s="21" t="s">
        <v>190</v>
      </c>
      <c r="D152" s="28" t="s">
        <v>182</v>
      </c>
      <c r="E152" s="21" t="s">
        <v>206</v>
      </c>
      <c r="F152" s="28" t="s">
        <v>84</v>
      </c>
      <c r="G152" s="101" t="s">
        <v>84</v>
      </c>
      <c r="H152" s="37">
        <v>13952</v>
      </c>
      <c r="I152" s="37"/>
      <c r="J152" s="246">
        <v>13919.5</v>
      </c>
      <c r="K152" s="246"/>
      <c r="L152" s="321"/>
      <c r="M152" s="246"/>
    </row>
    <row r="153" spans="1:13" ht="12" customHeight="1">
      <c r="A153" s="34" t="s">
        <v>9</v>
      </c>
      <c r="B153" s="40" t="s">
        <v>84</v>
      </c>
      <c r="C153" s="21" t="s">
        <v>190</v>
      </c>
      <c r="D153" s="28" t="s">
        <v>183</v>
      </c>
      <c r="E153" s="21"/>
      <c r="F153" s="28"/>
      <c r="G153" s="101"/>
      <c r="H153" s="37">
        <f>H154+H160+H158</f>
        <v>1743.6999999999998</v>
      </c>
      <c r="I153" s="37">
        <f>I154+I160+I158</f>
        <v>0</v>
      </c>
      <c r="J153" s="37">
        <f>J154+J160+J158</f>
        <v>1743.6999999999998</v>
      </c>
      <c r="K153" s="306"/>
      <c r="L153" s="307">
        <f>J153/H153*100</f>
        <v>100</v>
      </c>
      <c r="M153" s="306"/>
    </row>
    <row r="154" spans="1:13" ht="30.75" customHeight="1">
      <c r="A154" s="34" t="s">
        <v>202</v>
      </c>
      <c r="B154" s="40" t="s">
        <v>84</v>
      </c>
      <c r="C154" s="21" t="s">
        <v>190</v>
      </c>
      <c r="D154" s="28" t="s">
        <v>183</v>
      </c>
      <c r="E154" s="21" t="s">
        <v>69</v>
      </c>
      <c r="F154" s="28"/>
      <c r="G154" s="101"/>
      <c r="H154" s="37">
        <f aca="true" t="shared" si="23" ref="H154:J156">H155</f>
        <v>329.6</v>
      </c>
      <c r="I154" s="37">
        <f t="shared" si="23"/>
        <v>0</v>
      </c>
      <c r="J154" s="37">
        <f t="shared" si="23"/>
        <v>329.6</v>
      </c>
      <c r="K154" s="246"/>
      <c r="L154" s="321"/>
      <c r="M154" s="246"/>
    </row>
    <row r="155" spans="1:13" ht="57" customHeight="1">
      <c r="A155" s="34" t="s">
        <v>203</v>
      </c>
      <c r="B155" s="40" t="s">
        <v>84</v>
      </c>
      <c r="C155" s="21" t="s">
        <v>190</v>
      </c>
      <c r="D155" s="28" t="s">
        <v>183</v>
      </c>
      <c r="E155" s="21" t="s">
        <v>204</v>
      </c>
      <c r="F155" s="28"/>
      <c r="G155" s="101"/>
      <c r="H155" s="37">
        <f t="shared" si="23"/>
        <v>329.6</v>
      </c>
      <c r="I155" s="37">
        <f t="shared" si="23"/>
        <v>0</v>
      </c>
      <c r="J155" s="37">
        <f t="shared" si="23"/>
        <v>329.6</v>
      </c>
      <c r="K155" s="246"/>
      <c r="L155" s="321"/>
      <c r="M155" s="246"/>
    </row>
    <row r="156" spans="1:13" ht="42" customHeight="1">
      <c r="A156" s="34" t="s">
        <v>400</v>
      </c>
      <c r="B156" s="40" t="s">
        <v>84</v>
      </c>
      <c r="C156" s="21" t="s">
        <v>190</v>
      </c>
      <c r="D156" s="28" t="s">
        <v>183</v>
      </c>
      <c r="E156" s="21" t="s">
        <v>237</v>
      </c>
      <c r="F156" s="28"/>
      <c r="G156" s="101"/>
      <c r="H156" s="37">
        <f t="shared" si="23"/>
        <v>329.6</v>
      </c>
      <c r="I156" s="37">
        <f t="shared" si="23"/>
        <v>0</v>
      </c>
      <c r="J156" s="37">
        <f t="shared" si="23"/>
        <v>329.6</v>
      </c>
      <c r="K156" s="246"/>
      <c r="L156" s="321"/>
      <c r="M156" s="246"/>
    </row>
    <row r="157" spans="1:13" ht="15" customHeight="1">
      <c r="A157" s="34" t="s">
        <v>205</v>
      </c>
      <c r="B157" s="40" t="s">
        <v>84</v>
      </c>
      <c r="C157" s="21" t="s">
        <v>190</v>
      </c>
      <c r="D157" s="28" t="s">
        <v>183</v>
      </c>
      <c r="E157" s="21" t="s">
        <v>237</v>
      </c>
      <c r="F157" s="28" t="s">
        <v>66</v>
      </c>
      <c r="G157" s="101" t="s">
        <v>66</v>
      </c>
      <c r="H157" s="37">
        <v>329.6</v>
      </c>
      <c r="I157" s="37"/>
      <c r="J157" s="246">
        <v>329.6</v>
      </c>
      <c r="K157" s="246"/>
      <c r="L157" s="321"/>
      <c r="M157" s="246"/>
    </row>
    <row r="158" spans="1:13" ht="15" customHeight="1">
      <c r="A158" s="25" t="s">
        <v>27</v>
      </c>
      <c r="B158" s="42" t="s">
        <v>84</v>
      </c>
      <c r="C158" s="19" t="s">
        <v>190</v>
      </c>
      <c r="D158" s="30" t="s">
        <v>183</v>
      </c>
      <c r="E158" s="19" t="s">
        <v>207</v>
      </c>
      <c r="F158" s="30"/>
      <c r="G158" s="76"/>
      <c r="H158" s="37">
        <f>H159</f>
        <v>249.5</v>
      </c>
      <c r="I158" s="37">
        <f>I159</f>
        <v>0</v>
      </c>
      <c r="J158" s="37">
        <f>J159</f>
        <v>249.5</v>
      </c>
      <c r="K158" s="246"/>
      <c r="L158" s="321"/>
      <c r="M158" s="246"/>
    </row>
    <row r="159" spans="1:13" ht="15" customHeight="1">
      <c r="A159" s="8" t="s">
        <v>168</v>
      </c>
      <c r="B159" s="41" t="s">
        <v>84</v>
      </c>
      <c r="C159" s="17" t="s">
        <v>190</v>
      </c>
      <c r="D159" s="29" t="s">
        <v>183</v>
      </c>
      <c r="E159" s="17" t="s">
        <v>207</v>
      </c>
      <c r="F159" s="29"/>
      <c r="G159" s="76" t="s">
        <v>84</v>
      </c>
      <c r="H159" s="37">
        <f>249.5</f>
        <v>249.5</v>
      </c>
      <c r="I159" s="37"/>
      <c r="J159" s="246">
        <v>249.5</v>
      </c>
      <c r="K159" s="246"/>
      <c r="L159" s="321"/>
      <c r="M159" s="246"/>
    </row>
    <row r="160" spans="1:13" ht="17.25" customHeight="1">
      <c r="A160" s="34" t="s">
        <v>31</v>
      </c>
      <c r="B160" s="40" t="s">
        <v>84</v>
      </c>
      <c r="C160" s="21" t="s">
        <v>190</v>
      </c>
      <c r="D160" s="28" t="s">
        <v>183</v>
      </c>
      <c r="E160" s="21" t="s">
        <v>32</v>
      </c>
      <c r="F160" s="28"/>
      <c r="G160" s="101"/>
      <c r="H160" s="37">
        <f aca="true" t="shared" si="24" ref="H160:J161">H161</f>
        <v>1164.6</v>
      </c>
      <c r="I160" s="37">
        <f t="shared" si="24"/>
        <v>0</v>
      </c>
      <c r="J160" s="37">
        <f t="shared" si="24"/>
        <v>1164.6</v>
      </c>
      <c r="K160" s="246"/>
      <c r="L160" s="321"/>
      <c r="M160" s="246"/>
    </row>
    <row r="161" spans="1:13" ht="13.5" customHeight="1">
      <c r="A161" s="34" t="s">
        <v>27</v>
      </c>
      <c r="B161" s="40" t="s">
        <v>84</v>
      </c>
      <c r="C161" s="21" t="s">
        <v>190</v>
      </c>
      <c r="D161" s="28" t="s">
        <v>183</v>
      </c>
      <c r="E161" s="21" t="s">
        <v>208</v>
      </c>
      <c r="F161" s="28"/>
      <c r="G161" s="101"/>
      <c r="H161" s="37">
        <f t="shared" si="24"/>
        <v>1164.6</v>
      </c>
      <c r="I161" s="37">
        <f t="shared" si="24"/>
        <v>0</v>
      </c>
      <c r="J161" s="37">
        <f t="shared" si="24"/>
        <v>1164.6</v>
      </c>
      <c r="K161" s="246"/>
      <c r="L161" s="321"/>
      <c r="M161" s="246"/>
    </row>
    <row r="162" spans="1:13" ht="15" customHeight="1">
      <c r="A162" s="34" t="s">
        <v>168</v>
      </c>
      <c r="B162" s="40" t="s">
        <v>84</v>
      </c>
      <c r="C162" s="21" t="s">
        <v>190</v>
      </c>
      <c r="D162" s="28" t="s">
        <v>183</v>
      </c>
      <c r="E162" s="21" t="s">
        <v>208</v>
      </c>
      <c r="F162" s="28" t="s">
        <v>84</v>
      </c>
      <c r="G162" s="101" t="s">
        <v>84</v>
      </c>
      <c r="H162" s="37">
        <v>1164.6</v>
      </c>
      <c r="I162" s="37"/>
      <c r="J162" s="246">
        <v>1164.6</v>
      </c>
      <c r="K162" s="246"/>
      <c r="L162" s="180"/>
      <c r="M162" s="248"/>
    </row>
    <row r="163" spans="1:13" ht="15.75">
      <c r="A163" s="106" t="s">
        <v>114</v>
      </c>
      <c r="B163" s="94" t="s">
        <v>84</v>
      </c>
      <c r="C163" s="91" t="s">
        <v>191</v>
      </c>
      <c r="D163" s="103" t="s">
        <v>123</v>
      </c>
      <c r="E163" s="91"/>
      <c r="F163" s="89"/>
      <c r="G163" s="86"/>
      <c r="H163" s="75">
        <f>H164</f>
        <v>990.4</v>
      </c>
      <c r="I163" s="75">
        <f>I164</f>
        <v>0</v>
      </c>
      <c r="J163" s="75">
        <f>J164</f>
        <v>245.4</v>
      </c>
      <c r="K163" s="246"/>
      <c r="L163" s="307">
        <f>J163/H163*100</f>
        <v>24.777867528271408</v>
      </c>
      <c r="M163" s="306"/>
    </row>
    <row r="164" spans="1:13" ht="15.75">
      <c r="A164" s="24" t="s">
        <v>34</v>
      </c>
      <c r="B164" s="41" t="s">
        <v>84</v>
      </c>
      <c r="C164" s="21" t="s">
        <v>191</v>
      </c>
      <c r="D164" s="29" t="s">
        <v>182</v>
      </c>
      <c r="E164" s="17"/>
      <c r="F164" s="29"/>
      <c r="G164" s="101"/>
      <c r="H164" s="37">
        <f>H165+H168</f>
        <v>990.4</v>
      </c>
      <c r="I164" s="37">
        <f>I165+I168</f>
        <v>0</v>
      </c>
      <c r="J164" s="37">
        <f>J165+J168</f>
        <v>245.4</v>
      </c>
      <c r="K164" s="246"/>
      <c r="L164" s="62"/>
      <c r="M164" s="250"/>
    </row>
    <row r="165" spans="1:13" ht="15.75">
      <c r="A165" s="24" t="s">
        <v>98</v>
      </c>
      <c r="B165" s="41" t="s">
        <v>84</v>
      </c>
      <c r="C165" s="21" t="s">
        <v>191</v>
      </c>
      <c r="D165" s="29" t="s">
        <v>182</v>
      </c>
      <c r="E165" s="17" t="s">
        <v>39</v>
      </c>
      <c r="F165" s="29"/>
      <c r="G165" s="101"/>
      <c r="H165" s="37">
        <f aca="true" t="shared" si="25" ref="H165:J166">H166</f>
        <v>245.4</v>
      </c>
      <c r="I165" s="37">
        <f t="shared" si="25"/>
        <v>0</v>
      </c>
      <c r="J165" s="37">
        <f t="shared" si="25"/>
        <v>245.4</v>
      </c>
      <c r="K165" s="246"/>
      <c r="L165" s="321"/>
      <c r="M165" s="246"/>
    </row>
    <row r="166" spans="1:13" s="46" customFormat="1" ht="15.75">
      <c r="A166" s="24" t="s">
        <v>99</v>
      </c>
      <c r="B166" s="41" t="s">
        <v>84</v>
      </c>
      <c r="C166" s="21" t="s">
        <v>191</v>
      </c>
      <c r="D166" s="29" t="s">
        <v>182</v>
      </c>
      <c r="E166" s="17" t="s">
        <v>222</v>
      </c>
      <c r="F166" s="29"/>
      <c r="G166" s="101"/>
      <c r="H166" s="37">
        <f t="shared" si="25"/>
        <v>245.4</v>
      </c>
      <c r="I166" s="37">
        <f t="shared" si="25"/>
        <v>0</v>
      </c>
      <c r="J166" s="37">
        <f t="shared" si="25"/>
        <v>245.4</v>
      </c>
      <c r="K166" s="157"/>
      <c r="L166" s="24"/>
      <c r="M166" s="157"/>
    </row>
    <row r="167" spans="1:13" s="46" customFormat="1" ht="15.75">
      <c r="A167" s="24" t="s">
        <v>168</v>
      </c>
      <c r="B167" s="41" t="s">
        <v>84</v>
      </c>
      <c r="C167" s="21" t="s">
        <v>191</v>
      </c>
      <c r="D167" s="29" t="s">
        <v>182</v>
      </c>
      <c r="E167" s="17" t="s">
        <v>222</v>
      </c>
      <c r="F167" s="29" t="s">
        <v>84</v>
      </c>
      <c r="G167" s="101" t="s">
        <v>84</v>
      </c>
      <c r="H167" s="37">
        <v>245.4</v>
      </c>
      <c r="I167" s="37"/>
      <c r="J167" s="246">
        <v>245.4</v>
      </c>
      <c r="K167" s="157"/>
      <c r="L167" s="24"/>
      <c r="M167" s="157"/>
    </row>
    <row r="168" spans="1:13" s="46" customFormat="1" ht="15.75">
      <c r="A168" s="24" t="s">
        <v>127</v>
      </c>
      <c r="B168" s="41" t="s">
        <v>84</v>
      </c>
      <c r="C168" s="21" t="s">
        <v>191</v>
      </c>
      <c r="D168" s="28" t="s">
        <v>182</v>
      </c>
      <c r="E168" s="17" t="s">
        <v>128</v>
      </c>
      <c r="F168" s="29"/>
      <c r="G168" s="76"/>
      <c r="H168" s="37">
        <f aca="true" t="shared" si="26" ref="H168:J169">H169</f>
        <v>745</v>
      </c>
      <c r="I168" s="37">
        <f t="shared" si="26"/>
        <v>0</v>
      </c>
      <c r="J168" s="37">
        <f t="shared" si="26"/>
        <v>0</v>
      </c>
      <c r="K168" s="157"/>
      <c r="L168" s="24"/>
      <c r="M168" s="157"/>
    </row>
    <row r="169" spans="1:13" s="46" customFormat="1" ht="26.25">
      <c r="A169" s="97" t="s">
        <v>245</v>
      </c>
      <c r="B169" s="41" t="s">
        <v>84</v>
      </c>
      <c r="C169" s="21" t="s">
        <v>191</v>
      </c>
      <c r="D169" s="28" t="s">
        <v>182</v>
      </c>
      <c r="E169" s="17" t="s">
        <v>244</v>
      </c>
      <c r="F169" s="29"/>
      <c r="G169" s="76"/>
      <c r="H169" s="37">
        <f t="shared" si="26"/>
        <v>745</v>
      </c>
      <c r="I169" s="37">
        <f t="shared" si="26"/>
        <v>0</v>
      </c>
      <c r="J169" s="37">
        <f t="shared" si="26"/>
        <v>0</v>
      </c>
      <c r="K169" s="157"/>
      <c r="L169" s="24"/>
      <c r="M169" s="157"/>
    </row>
    <row r="170" spans="1:13" s="46" customFormat="1" ht="27" thickBot="1">
      <c r="A170" s="97" t="s">
        <v>328</v>
      </c>
      <c r="B170" s="42" t="s">
        <v>84</v>
      </c>
      <c r="C170" s="14" t="s">
        <v>191</v>
      </c>
      <c r="D170" s="9" t="s">
        <v>182</v>
      </c>
      <c r="E170" s="19" t="s">
        <v>244</v>
      </c>
      <c r="F170" s="30"/>
      <c r="G170" s="177" t="s">
        <v>329</v>
      </c>
      <c r="H170" s="35">
        <f>1145-400</f>
        <v>745</v>
      </c>
      <c r="I170" s="35"/>
      <c r="J170" s="248"/>
      <c r="K170" s="310"/>
      <c r="L170" s="25"/>
      <c r="M170" s="310"/>
    </row>
    <row r="171" spans="1:13" ht="16.5" thickBot="1">
      <c r="A171" s="106" t="s">
        <v>249</v>
      </c>
      <c r="B171" s="141" t="s">
        <v>84</v>
      </c>
      <c r="C171" s="18" t="s">
        <v>188</v>
      </c>
      <c r="D171" s="143" t="s">
        <v>123</v>
      </c>
      <c r="E171" s="18"/>
      <c r="F171" s="23"/>
      <c r="G171" s="147"/>
      <c r="H171" s="38">
        <f>H181+H172</f>
        <v>131759.7</v>
      </c>
      <c r="I171" s="38">
        <f>I181+I172</f>
        <v>20634</v>
      </c>
      <c r="J171" s="38">
        <f>J181+J172</f>
        <v>100946.4</v>
      </c>
      <c r="K171" s="38">
        <f>K181+K172</f>
        <v>20634</v>
      </c>
      <c r="L171" s="243">
        <f>J171/H171*100</f>
        <v>76.61401779147948</v>
      </c>
      <c r="M171" s="154">
        <f>K171/I171*100</f>
        <v>100</v>
      </c>
    </row>
    <row r="172" spans="1:13" ht="15.75">
      <c r="A172" s="26" t="s">
        <v>224</v>
      </c>
      <c r="B172" s="40" t="s">
        <v>84</v>
      </c>
      <c r="C172" s="21" t="s">
        <v>188</v>
      </c>
      <c r="D172" s="28" t="s">
        <v>182</v>
      </c>
      <c r="E172" s="21"/>
      <c r="F172" s="6" t="s">
        <v>49</v>
      </c>
      <c r="G172" s="85"/>
      <c r="H172" s="36">
        <f>H173+H177</f>
        <v>111759.7</v>
      </c>
      <c r="I172" s="36">
        <f>I173+I177</f>
        <v>20634</v>
      </c>
      <c r="J172" s="36">
        <f>J173+J177</f>
        <v>100946.4</v>
      </c>
      <c r="K172" s="36">
        <f>K173+K177</f>
        <v>20634</v>
      </c>
      <c r="L172" s="307">
        <f>J172/H172*100</f>
        <v>90.32450874510222</v>
      </c>
      <c r="M172" s="306">
        <f>K172/I172*100</f>
        <v>100</v>
      </c>
    </row>
    <row r="173" spans="1:13" ht="26.25">
      <c r="A173" s="34" t="s">
        <v>202</v>
      </c>
      <c r="B173" s="41" t="s">
        <v>84</v>
      </c>
      <c r="C173" s="17" t="s">
        <v>188</v>
      </c>
      <c r="D173" s="28" t="s">
        <v>182</v>
      </c>
      <c r="E173" s="17" t="s">
        <v>69</v>
      </c>
      <c r="F173" s="7" t="s">
        <v>49</v>
      </c>
      <c r="G173" s="85"/>
      <c r="H173" s="37">
        <f aca="true" t="shared" si="27" ref="H173:K175">H174</f>
        <v>110000</v>
      </c>
      <c r="I173" s="37">
        <f t="shared" si="27"/>
        <v>20634</v>
      </c>
      <c r="J173" s="37">
        <f t="shared" si="27"/>
        <v>99998.4</v>
      </c>
      <c r="K173" s="37">
        <f t="shared" si="27"/>
        <v>20634</v>
      </c>
      <c r="L173" s="321"/>
      <c r="M173" s="246"/>
    </row>
    <row r="174" spans="1:13" ht="12" customHeight="1">
      <c r="A174" s="34" t="s">
        <v>203</v>
      </c>
      <c r="B174" s="41" t="s">
        <v>84</v>
      </c>
      <c r="C174" s="17" t="s">
        <v>188</v>
      </c>
      <c r="D174" s="28" t="s">
        <v>182</v>
      </c>
      <c r="E174" s="17" t="s">
        <v>204</v>
      </c>
      <c r="F174" s="7" t="s">
        <v>70</v>
      </c>
      <c r="G174" s="47"/>
      <c r="H174" s="37">
        <f t="shared" si="27"/>
        <v>110000</v>
      </c>
      <c r="I174" s="37">
        <f t="shared" si="27"/>
        <v>20634</v>
      </c>
      <c r="J174" s="37">
        <f t="shared" si="27"/>
        <v>99998.4</v>
      </c>
      <c r="K174" s="37">
        <f t="shared" si="27"/>
        <v>20634</v>
      </c>
      <c r="L174" s="321"/>
      <c r="M174" s="246"/>
    </row>
    <row r="175" spans="1:13" ht="64.5">
      <c r="A175" s="34" t="s">
        <v>284</v>
      </c>
      <c r="B175" s="41" t="s">
        <v>84</v>
      </c>
      <c r="C175" s="17" t="s">
        <v>188</v>
      </c>
      <c r="D175" s="28" t="s">
        <v>182</v>
      </c>
      <c r="E175" s="17" t="s">
        <v>237</v>
      </c>
      <c r="F175" s="7"/>
      <c r="G175" s="47"/>
      <c r="H175" s="37">
        <f t="shared" si="27"/>
        <v>110000</v>
      </c>
      <c r="I175" s="37">
        <f t="shared" si="27"/>
        <v>20634</v>
      </c>
      <c r="J175" s="37">
        <f t="shared" si="27"/>
        <v>99998.4</v>
      </c>
      <c r="K175" s="37">
        <f t="shared" si="27"/>
        <v>20634</v>
      </c>
      <c r="L175" s="321"/>
      <c r="M175" s="246"/>
    </row>
    <row r="176" spans="1:13" ht="15.75">
      <c r="A176" s="34" t="s">
        <v>205</v>
      </c>
      <c r="B176" s="41" t="s">
        <v>84</v>
      </c>
      <c r="C176" s="17" t="s">
        <v>188</v>
      </c>
      <c r="D176" s="28" t="s">
        <v>182</v>
      </c>
      <c r="E176" s="17" t="s">
        <v>237</v>
      </c>
      <c r="F176" s="7"/>
      <c r="G176" s="47" t="s">
        <v>66</v>
      </c>
      <c r="H176" s="37">
        <f>85000+38000-23000+759.7-20000-20634+20634-759.7+30000</f>
        <v>110000</v>
      </c>
      <c r="I176" s="37">
        <v>20634</v>
      </c>
      <c r="J176" s="246">
        <v>99998.4</v>
      </c>
      <c r="K176" s="63">
        <f>20634</f>
        <v>20634</v>
      </c>
      <c r="L176" s="321"/>
      <c r="M176" s="246"/>
    </row>
    <row r="177" spans="1:13" ht="26.25">
      <c r="A177" s="34" t="s">
        <v>202</v>
      </c>
      <c r="B177" s="41" t="s">
        <v>84</v>
      </c>
      <c r="C177" s="17" t="s">
        <v>188</v>
      </c>
      <c r="D177" s="28" t="s">
        <v>182</v>
      </c>
      <c r="E177" s="17" t="s">
        <v>69</v>
      </c>
      <c r="F177" s="7" t="s">
        <v>49</v>
      </c>
      <c r="G177" s="85"/>
      <c r="H177" s="37">
        <f aca="true" t="shared" si="28" ref="H177:J179">H178</f>
        <v>1759.7</v>
      </c>
      <c r="I177" s="37">
        <f t="shared" si="28"/>
        <v>0</v>
      </c>
      <c r="J177" s="37">
        <f t="shared" si="28"/>
        <v>948</v>
      </c>
      <c r="K177" s="246"/>
      <c r="L177" s="321"/>
      <c r="M177" s="246"/>
    </row>
    <row r="178" spans="1:13" ht="51.75">
      <c r="A178" s="34" t="s">
        <v>203</v>
      </c>
      <c r="B178" s="41" t="s">
        <v>84</v>
      </c>
      <c r="C178" s="17" t="s">
        <v>188</v>
      </c>
      <c r="D178" s="28" t="s">
        <v>182</v>
      </c>
      <c r="E178" s="17" t="s">
        <v>204</v>
      </c>
      <c r="F178" s="7" t="s">
        <v>70</v>
      </c>
      <c r="G178" s="47"/>
      <c r="H178" s="37">
        <f t="shared" si="28"/>
        <v>1759.7</v>
      </c>
      <c r="I178" s="37">
        <f t="shared" si="28"/>
        <v>0</v>
      </c>
      <c r="J178" s="37">
        <f t="shared" si="28"/>
        <v>948</v>
      </c>
      <c r="K178" s="246"/>
      <c r="L178" s="321"/>
      <c r="M178" s="246"/>
    </row>
    <row r="179" spans="1:13" ht="51.75">
      <c r="A179" s="34" t="s">
        <v>285</v>
      </c>
      <c r="B179" s="41" t="s">
        <v>84</v>
      </c>
      <c r="C179" s="17" t="s">
        <v>188</v>
      </c>
      <c r="D179" s="28" t="s">
        <v>182</v>
      </c>
      <c r="E179" s="17" t="s">
        <v>237</v>
      </c>
      <c r="F179" s="7"/>
      <c r="G179" s="47"/>
      <c r="H179" s="37">
        <f t="shared" si="28"/>
        <v>1759.7</v>
      </c>
      <c r="I179" s="37">
        <f t="shared" si="28"/>
        <v>0</v>
      </c>
      <c r="J179" s="37">
        <f t="shared" si="28"/>
        <v>948</v>
      </c>
      <c r="K179" s="246"/>
      <c r="L179" s="321"/>
      <c r="M179" s="246"/>
    </row>
    <row r="180" spans="1:13" ht="15.75">
      <c r="A180" s="34" t="s">
        <v>205</v>
      </c>
      <c r="B180" s="41" t="s">
        <v>84</v>
      </c>
      <c r="C180" s="17" t="s">
        <v>188</v>
      </c>
      <c r="D180" s="28" t="s">
        <v>182</v>
      </c>
      <c r="E180" s="17" t="s">
        <v>237</v>
      </c>
      <c r="F180" s="7"/>
      <c r="G180" s="47" t="s">
        <v>66</v>
      </c>
      <c r="H180" s="37">
        <f>20400-6000+15000-10000-18400+759.7</f>
        <v>1759.7</v>
      </c>
      <c r="I180" s="37"/>
      <c r="J180" s="63">
        <v>948</v>
      </c>
      <c r="K180" s="246"/>
      <c r="L180" s="321"/>
      <c r="M180" s="246"/>
    </row>
    <row r="181" spans="1:13" ht="15.75">
      <c r="A181" s="8" t="s">
        <v>226</v>
      </c>
      <c r="B181" s="41" t="s">
        <v>84</v>
      </c>
      <c r="C181" s="17" t="s">
        <v>188</v>
      </c>
      <c r="D181" s="29" t="s">
        <v>191</v>
      </c>
      <c r="E181" s="17"/>
      <c r="F181" s="7"/>
      <c r="G181" s="47"/>
      <c r="H181" s="37">
        <f>H182</f>
        <v>20000</v>
      </c>
      <c r="I181" s="37">
        <f aca="true" t="shared" si="29" ref="H181:J184">I182</f>
        <v>0</v>
      </c>
      <c r="J181" s="37">
        <f t="shared" si="29"/>
        <v>0</v>
      </c>
      <c r="K181" s="246"/>
      <c r="L181" s="307">
        <f>J181/H181*100</f>
        <v>0</v>
      </c>
      <c r="M181" s="306"/>
    </row>
    <row r="182" spans="1:13" ht="26.25">
      <c r="A182" s="34" t="s">
        <v>202</v>
      </c>
      <c r="B182" s="41" t="s">
        <v>84</v>
      </c>
      <c r="C182" s="17" t="s">
        <v>188</v>
      </c>
      <c r="D182" s="29" t="s">
        <v>191</v>
      </c>
      <c r="E182" s="17" t="s">
        <v>69</v>
      </c>
      <c r="F182" s="29"/>
      <c r="G182" s="76"/>
      <c r="H182" s="37">
        <f t="shared" si="29"/>
        <v>20000</v>
      </c>
      <c r="I182" s="37">
        <f t="shared" si="29"/>
        <v>0</v>
      </c>
      <c r="J182" s="37">
        <f t="shared" si="29"/>
        <v>0</v>
      </c>
      <c r="K182" s="246"/>
      <c r="L182" s="321"/>
      <c r="M182" s="246"/>
    </row>
    <row r="183" spans="1:13" ht="26.25">
      <c r="A183" s="34" t="s">
        <v>264</v>
      </c>
      <c r="B183" s="41" t="s">
        <v>84</v>
      </c>
      <c r="C183" s="17" t="s">
        <v>188</v>
      </c>
      <c r="D183" s="29" t="s">
        <v>191</v>
      </c>
      <c r="E183" s="17" t="s">
        <v>204</v>
      </c>
      <c r="F183" s="7"/>
      <c r="G183" s="47"/>
      <c r="H183" s="37">
        <f t="shared" si="29"/>
        <v>20000</v>
      </c>
      <c r="I183" s="37">
        <f t="shared" si="29"/>
        <v>0</v>
      </c>
      <c r="J183" s="37">
        <f t="shared" si="29"/>
        <v>0</v>
      </c>
      <c r="K183" s="246"/>
      <c r="L183" s="321"/>
      <c r="M183" s="246"/>
    </row>
    <row r="184" spans="1:13" ht="77.25">
      <c r="A184" s="34" t="s">
        <v>283</v>
      </c>
      <c r="B184" s="41" t="s">
        <v>84</v>
      </c>
      <c r="C184" s="17" t="s">
        <v>188</v>
      </c>
      <c r="D184" s="29" t="s">
        <v>191</v>
      </c>
      <c r="E184" s="17" t="s">
        <v>237</v>
      </c>
      <c r="F184" s="7"/>
      <c r="G184" s="47"/>
      <c r="H184" s="37">
        <f t="shared" si="29"/>
        <v>20000</v>
      </c>
      <c r="I184" s="37">
        <f t="shared" si="29"/>
        <v>0</v>
      </c>
      <c r="J184" s="37">
        <f t="shared" si="29"/>
        <v>0</v>
      </c>
      <c r="K184" s="246"/>
      <c r="L184" s="321"/>
      <c r="M184" s="246"/>
    </row>
    <row r="185" spans="1:13" ht="16.5" thickBot="1">
      <c r="A185" s="34" t="s">
        <v>205</v>
      </c>
      <c r="B185" s="42" t="s">
        <v>84</v>
      </c>
      <c r="C185" s="19" t="s">
        <v>188</v>
      </c>
      <c r="D185" s="30" t="s">
        <v>191</v>
      </c>
      <c r="E185" s="19" t="s">
        <v>237</v>
      </c>
      <c r="F185" s="5"/>
      <c r="G185" s="48" t="s">
        <v>66</v>
      </c>
      <c r="H185" s="35">
        <v>20000</v>
      </c>
      <c r="I185" s="35">
        <f>12000-12000</f>
        <v>0</v>
      </c>
      <c r="J185" s="248"/>
      <c r="K185" s="248"/>
      <c r="L185" s="180"/>
      <c r="M185" s="248"/>
    </row>
    <row r="186" spans="1:13" ht="16.5" thickBot="1">
      <c r="A186" s="106" t="s">
        <v>5</v>
      </c>
      <c r="B186" s="141" t="s">
        <v>84</v>
      </c>
      <c r="C186" s="18" t="s">
        <v>189</v>
      </c>
      <c r="D186" s="143" t="s">
        <v>123</v>
      </c>
      <c r="E186" s="18"/>
      <c r="F186" s="23"/>
      <c r="G186" s="147"/>
      <c r="H186" s="38">
        <f>H190+H191+H211</f>
        <v>63046.600000000006</v>
      </c>
      <c r="I186" s="38">
        <f>I187+I191+I211</f>
        <v>47754</v>
      </c>
      <c r="J186" s="38">
        <f>J187+J191+J211</f>
        <v>54941.5</v>
      </c>
      <c r="K186" s="318">
        <f>K191</f>
        <v>45388.9</v>
      </c>
      <c r="L186" s="243">
        <f>J186/H186*100</f>
        <v>87.14427106299149</v>
      </c>
      <c r="M186" s="154">
        <f>K186/I186*100</f>
        <v>95.04732587846044</v>
      </c>
    </row>
    <row r="187" spans="1:13" ht="15.75">
      <c r="A187" s="26" t="s">
        <v>46</v>
      </c>
      <c r="B187" s="40" t="s">
        <v>84</v>
      </c>
      <c r="C187" s="21" t="s">
        <v>189</v>
      </c>
      <c r="D187" s="28" t="s">
        <v>182</v>
      </c>
      <c r="E187" s="21"/>
      <c r="F187" s="28"/>
      <c r="G187" s="85"/>
      <c r="H187" s="36">
        <f aca="true" t="shared" si="30" ref="H187:J189">H188</f>
        <v>750</v>
      </c>
      <c r="I187" s="36">
        <f t="shared" si="30"/>
        <v>0</v>
      </c>
      <c r="J187" s="36">
        <f t="shared" si="30"/>
        <v>748.3</v>
      </c>
      <c r="K187" s="250"/>
      <c r="L187" s="307">
        <f>J187/H187*100</f>
        <v>99.77333333333333</v>
      </c>
      <c r="M187" s="306"/>
    </row>
    <row r="188" spans="1:13" ht="15.75">
      <c r="A188" s="45" t="s">
        <v>229</v>
      </c>
      <c r="B188" s="41" t="s">
        <v>84</v>
      </c>
      <c r="C188" s="21" t="s">
        <v>189</v>
      </c>
      <c r="D188" s="29" t="s">
        <v>182</v>
      </c>
      <c r="E188" s="17" t="s">
        <v>230</v>
      </c>
      <c r="F188" s="29"/>
      <c r="G188" s="76"/>
      <c r="H188" s="37">
        <f t="shared" si="30"/>
        <v>750</v>
      </c>
      <c r="I188" s="37">
        <f t="shared" si="30"/>
        <v>0</v>
      </c>
      <c r="J188" s="37">
        <f t="shared" si="30"/>
        <v>748.3</v>
      </c>
      <c r="K188" s="246"/>
      <c r="L188" s="321"/>
      <c r="M188" s="246"/>
    </row>
    <row r="189" spans="1:13" ht="26.25">
      <c r="A189" s="45" t="s">
        <v>112</v>
      </c>
      <c r="B189" s="42" t="s">
        <v>84</v>
      </c>
      <c r="C189" s="21" t="s">
        <v>189</v>
      </c>
      <c r="D189" s="30" t="s">
        <v>182</v>
      </c>
      <c r="E189" s="19" t="s">
        <v>231</v>
      </c>
      <c r="F189" s="30"/>
      <c r="G189" s="53"/>
      <c r="H189" s="35">
        <f t="shared" si="30"/>
        <v>750</v>
      </c>
      <c r="I189" s="35">
        <f t="shared" si="30"/>
        <v>0</v>
      </c>
      <c r="J189" s="35">
        <f t="shared" si="30"/>
        <v>748.3</v>
      </c>
      <c r="K189" s="246"/>
      <c r="L189" s="321"/>
      <c r="M189" s="246"/>
    </row>
    <row r="190" spans="1:13" ht="15.75">
      <c r="A190" s="45" t="s">
        <v>252</v>
      </c>
      <c r="B190" s="42" t="s">
        <v>84</v>
      </c>
      <c r="C190" s="21" t="s">
        <v>189</v>
      </c>
      <c r="D190" s="30" t="s">
        <v>182</v>
      </c>
      <c r="E190" s="19" t="s">
        <v>231</v>
      </c>
      <c r="F190" s="30"/>
      <c r="G190" s="47" t="s">
        <v>51</v>
      </c>
      <c r="H190" s="35">
        <v>750</v>
      </c>
      <c r="I190" s="310"/>
      <c r="J190" s="246">
        <v>748.3</v>
      </c>
      <c r="K190" s="246"/>
      <c r="L190" s="321"/>
      <c r="M190" s="246"/>
    </row>
    <row r="191" spans="1:13" ht="15.75">
      <c r="A191" s="24" t="s">
        <v>94</v>
      </c>
      <c r="B191" s="41" t="s">
        <v>84</v>
      </c>
      <c r="C191" s="21" t="s">
        <v>189</v>
      </c>
      <c r="D191" s="29" t="s">
        <v>187</v>
      </c>
      <c r="E191" s="17"/>
      <c r="F191" s="29"/>
      <c r="G191" s="76"/>
      <c r="H191" s="37">
        <f>H200+H206+H192+H195</f>
        <v>58666.600000000006</v>
      </c>
      <c r="I191" s="37">
        <f>I200+I206+I192+I195</f>
        <v>47754</v>
      </c>
      <c r="J191" s="37">
        <f>J200+J206+J192+J195</f>
        <v>52672.899999999994</v>
      </c>
      <c r="K191" s="246">
        <f>K200</f>
        <v>45388.9</v>
      </c>
      <c r="L191" s="307">
        <f>J191/H191*100</f>
        <v>89.78345429937987</v>
      </c>
      <c r="M191" s="306">
        <f>K191/I191*100</f>
        <v>95.04732587846044</v>
      </c>
    </row>
    <row r="192" spans="1:13" ht="15.75">
      <c r="A192" s="45" t="s">
        <v>367</v>
      </c>
      <c r="B192" s="41" t="s">
        <v>84</v>
      </c>
      <c r="C192" s="21" t="s">
        <v>189</v>
      </c>
      <c r="D192" s="29" t="s">
        <v>187</v>
      </c>
      <c r="E192" s="17" t="s">
        <v>368</v>
      </c>
      <c r="F192" s="29"/>
      <c r="G192" s="76"/>
      <c r="H192" s="37">
        <f aca="true" t="shared" si="31" ref="H192:J193">H193</f>
        <v>2867.8</v>
      </c>
      <c r="I192" s="37">
        <f t="shared" si="31"/>
        <v>0</v>
      </c>
      <c r="J192" s="37">
        <f t="shared" si="31"/>
        <v>1224.3</v>
      </c>
      <c r="K192" s="246"/>
      <c r="L192" s="321"/>
      <c r="M192" s="246"/>
    </row>
    <row r="193" spans="1:13" ht="15.75">
      <c r="A193" s="24" t="s">
        <v>369</v>
      </c>
      <c r="B193" s="41" t="s">
        <v>84</v>
      </c>
      <c r="C193" s="21" t="s">
        <v>189</v>
      </c>
      <c r="D193" s="29" t="s">
        <v>187</v>
      </c>
      <c r="E193" s="17" t="s">
        <v>370</v>
      </c>
      <c r="F193" s="29"/>
      <c r="G193" s="76"/>
      <c r="H193" s="37">
        <f t="shared" si="31"/>
        <v>2867.8</v>
      </c>
      <c r="I193" s="37">
        <f t="shared" si="31"/>
        <v>0</v>
      </c>
      <c r="J193" s="37">
        <f t="shared" si="31"/>
        <v>1224.3</v>
      </c>
      <c r="K193" s="246"/>
      <c r="L193" s="321"/>
      <c r="M193" s="246"/>
    </row>
    <row r="194" spans="1:13" ht="15.75">
      <c r="A194" s="24" t="s">
        <v>415</v>
      </c>
      <c r="B194" s="41" t="s">
        <v>84</v>
      </c>
      <c r="C194" s="21" t="s">
        <v>189</v>
      </c>
      <c r="D194" s="29" t="s">
        <v>187</v>
      </c>
      <c r="E194" s="17" t="s">
        <v>370</v>
      </c>
      <c r="F194" s="29" t="s">
        <v>372</v>
      </c>
      <c r="G194" s="76" t="s">
        <v>51</v>
      </c>
      <c r="H194" s="37">
        <v>2867.8</v>
      </c>
      <c r="I194" s="37"/>
      <c r="J194" s="246">
        <v>1224.3</v>
      </c>
      <c r="K194" s="246"/>
      <c r="L194" s="321"/>
      <c r="M194" s="246"/>
    </row>
    <row r="195" spans="1:13" ht="15.75">
      <c r="A195" s="24" t="s">
        <v>373</v>
      </c>
      <c r="B195" s="41" t="s">
        <v>84</v>
      </c>
      <c r="C195" s="21" t="s">
        <v>189</v>
      </c>
      <c r="D195" s="29" t="s">
        <v>187</v>
      </c>
      <c r="E195" s="17" t="s">
        <v>374</v>
      </c>
      <c r="F195" s="29"/>
      <c r="G195" s="76"/>
      <c r="H195" s="37">
        <f>H196+H199</f>
        <v>1430.5</v>
      </c>
      <c r="I195" s="37">
        <f>I197+I196</f>
        <v>1022</v>
      </c>
      <c r="J195" s="37">
        <f>J196+J199</f>
        <v>329.6</v>
      </c>
      <c r="K195" s="246"/>
      <c r="L195" s="321"/>
      <c r="M195" s="246"/>
    </row>
    <row r="196" spans="1:13" ht="15.75">
      <c r="A196" s="24" t="s">
        <v>437</v>
      </c>
      <c r="B196" s="41" t="s">
        <v>84</v>
      </c>
      <c r="C196" s="21" t="s">
        <v>189</v>
      </c>
      <c r="D196" s="29" t="s">
        <v>187</v>
      </c>
      <c r="E196" s="17" t="s">
        <v>438</v>
      </c>
      <c r="F196" s="29"/>
      <c r="G196" s="76" t="s">
        <v>51</v>
      </c>
      <c r="H196" s="37">
        <v>217</v>
      </c>
      <c r="I196" s="37">
        <v>217</v>
      </c>
      <c r="J196" s="246"/>
      <c r="K196" s="246"/>
      <c r="L196" s="321"/>
      <c r="M196" s="246"/>
    </row>
    <row r="197" spans="1:13" ht="15.75">
      <c r="A197" s="24" t="s">
        <v>375</v>
      </c>
      <c r="B197" s="41" t="s">
        <v>84</v>
      </c>
      <c r="C197" s="21" t="s">
        <v>189</v>
      </c>
      <c r="D197" s="29" t="s">
        <v>187</v>
      </c>
      <c r="E197" s="17" t="s">
        <v>376</v>
      </c>
      <c r="F197" s="29"/>
      <c r="G197" s="76"/>
      <c r="H197" s="37">
        <f aca="true" t="shared" si="32" ref="H197:J198">H198</f>
        <v>1213.5</v>
      </c>
      <c r="I197" s="37">
        <f t="shared" si="32"/>
        <v>805</v>
      </c>
      <c r="J197" s="37">
        <f t="shared" si="32"/>
        <v>329.6</v>
      </c>
      <c r="K197" s="246"/>
      <c r="L197" s="321"/>
      <c r="M197" s="246"/>
    </row>
    <row r="198" spans="1:13" ht="15.75">
      <c r="A198" s="24" t="s">
        <v>369</v>
      </c>
      <c r="B198" s="41" t="s">
        <v>84</v>
      </c>
      <c r="C198" s="21" t="s">
        <v>189</v>
      </c>
      <c r="D198" s="29" t="s">
        <v>187</v>
      </c>
      <c r="E198" s="17" t="s">
        <v>377</v>
      </c>
      <c r="F198" s="29"/>
      <c r="G198" s="76"/>
      <c r="H198" s="37">
        <f t="shared" si="32"/>
        <v>1213.5</v>
      </c>
      <c r="I198" s="37">
        <f t="shared" si="32"/>
        <v>805</v>
      </c>
      <c r="J198" s="37">
        <f t="shared" si="32"/>
        <v>329.6</v>
      </c>
      <c r="K198" s="246"/>
      <c r="L198" s="321"/>
      <c r="M198" s="246"/>
    </row>
    <row r="199" spans="1:13" ht="15.75">
      <c r="A199" s="24" t="s">
        <v>371</v>
      </c>
      <c r="B199" s="41" t="s">
        <v>84</v>
      </c>
      <c r="C199" s="21" t="s">
        <v>189</v>
      </c>
      <c r="D199" s="29" t="s">
        <v>187</v>
      </c>
      <c r="E199" s="17" t="s">
        <v>377</v>
      </c>
      <c r="F199" s="29" t="s">
        <v>372</v>
      </c>
      <c r="G199" s="76" t="s">
        <v>372</v>
      </c>
      <c r="H199" s="37">
        <v>1213.5</v>
      </c>
      <c r="I199" s="37">
        <v>805</v>
      </c>
      <c r="J199" s="246">
        <v>329.6</v>
      </c>
      <c r="K199" s="246"/>
      <c r="L199" s="321"/>
      <c r="M199" s="246"/>
    </row>
    <row r="200" spans="1:13" ht="15.75">
      <c r="A200" s="24" t="s">
        <v>232</v>
      </c>
      <c r="B200" s="41" t="s">
        <v>84</v>
      </c>
      <c r="C200" s="21" t="s">
        <v>189</v>
      </c>
      <c r="D200" s="29" t="s">
        <v>187</v>
      </c>
      <c r="E200" s="17" t="s">
        <v>88</v>
      </c>
      <c r="F200" s="29"/>
      <c r="G200" s="76"/>
      <c r="H200" s="37">
        <f>H201+H204</f>
        <v>52660.5</v>
      </c>
      <c r="I200" s="37">
        <f>I201+I204</f>
        <v>46732</v>
      </c>
      <c r="J200" s="37">
        <f>J201+J204</f>
        <v>50789.399999999994</v>
      </c>
      <c r="K200" s="246">
        <f>K204</f>
        <v>45388.9</v>
      </c>
      <c r="L200" s="321"/>
      <c r="M200" s="246"/>
    </row>
    <row r="201" spans="1:13" ht="15.75">
      <c r="A201" s="24" t="s">
        <v>233</v>
      </c>
      <c r="B201" s="41" t="s">
        <v>84</v>
      </c>
      <c r="C201" s="21" t="s">
        <v>189</v>
      </c>
      <c r="D201" s="29" t="s">
        <v>187</v>
      </c>
      <c r="E201" s="17" t="s">
        <v>435</v>
      </c>
      <c r="F201" s="29" t="s">
        <v>89</v>
      </c>
      <c r="G201" s="52"/>
      <c r="H201" s="37">
        <f aca="true" t="shared" si="33" ref="H201:J202">H202</f>
        <v>2624.2</v>
      </c>
      <c r="I201" s="37">
        <f t="shared" si="33"/>
        <v>0</v>
      </c>
      <c r="J201" s="37">
        <f t="shared" si="33"/>
        <v>2096.2</v>
      </c>
      <c r="K201" s="246"/>
      <c r="L201" s="321"/>
      <c r="M201" s="246"/>
    </row>
    <row r="202" spans="1:13" ht="26.25">
      <c r="A202" s="97" t="s">
        <v>234</v>
      </c>
      <c r="B202" s="41" t="s">
        <v>84</v>
      </c>
      <c r="C202" s="21" t="s">
        <v>189</v>
      </c>
      <c r="D202" s="29" t="s">
        <v>187</v>
      </c>
      <c r="E202" s="17" t="s">
        <v>435</v>
      </c>
      <c r="F202" s="7"/>
      <c r="G202" s="52"/>
      <c r="H202" s="37">
        <f t="shared" si="33"/>
        <v>2624.2</v>
      </c>
      <c r="I202" s="37">
        <f t="shared" si="33"/>
        <v>0</v>
      </c>
      <c r="J202" s="37">
        <f t="shared" si="33"/>
        <v>2096.2</v>
      </c>
      <c r="K202" s="246"/>
      <c r="L202" s="321"/>
      <c r="M202" s="246"/>
    </row>
    <row r="203" spans="1:13" ht="15.75">
      <c r="A203" s="45" t="s">
        <v>252</v>
      </c>
      <c r="B203" s="41" t="s">
        <v>84</v>
      </c>
      <c r="C203" s="21" t="s">
        <v>189</v>
      </c>
      <c r="D203" s="29" t="s">
        <v>187</v>
      </c>
      <c r="E203" s="17" t="s">
        <v>435</v>
      </c>
      <c r="F203" s="7"/>
      <c r="G203" s="11" t="s">
        <v>51</v>
      </c>
      <c r="H203" s="37">
        <v>2624.2</v>
      </c>
      <c r="I203" s="37"/>
      <c r="J203" s="246">
        <v>2096.2</v>
      </c>
      <c r="K203" s="246"/>
      <c r="L203" s="321"/>
      <c r="M203" s="246"/>
    </row>
    <row r="204" spans="1:13" ht="26.25">
      <c r="A204" s="97" t="s">
        <v>140</v>
      </c>
      <c r="B204" s="41" t="s">
        <v>84</v>
      </c>
      <c r="C204" s="21" t="s">
        <v>189</v>
      </c>
      <c r="D204" s="29" t="s">
        <v>187</v>
      </c>
      <c r="E204" s="17" t="s">
        <v>235</v>
      </c>
      <c r="F204" s="7"/>
      <c r="G204" s="52"/>
      <c r="H204" s="37">
        <f>H205</f>
        <v>50036.3</v>
      </c>
      <c r="I204" s="37">
        <f>I205</f>
        <v>46732</v>
      </c>
      <c r="J204" s="37">
        <f>J205</f>
        <v>48693.2</v>
      </c>
      <c r="K204" s="246">
        <f>K205</f>
        <v>45388.9</v>
      </c>
      <c r="L204" s="321"/>
      <c r="M204" s="246"/>
    </row>
    <row r="205" spans="1:13" ht="15.75">
      <c r="A205" s="45" t="s">
        <v>164</v>
      </c>
      <c r="B205" s="41" t="s">
        <v>84</v>
      </c>
      <c r="C205" s="21" t="s">
        <v>189</v>
      </c>
      <c r="D205" s="29" t="s">
        <v>187</v>
      </c>
      <c r="E205" s="17" t="s">
        <v>235</v>
      </c>
      <c r="F205" s="7"/>
      <c r="G205" s="11" t="s">
        <v>51</v>
      </c>
      <c r="H205" s="37">
        <f>50018-1869+3304.3-946-471</f>
        <v>50036.3</v>
      </c>
      <c r="I205" s="37">
        <f>50018-1869-946-471</f>
        <v>46732</v>
      </c>
      <c r="J205" s="246">
        <v>48693.2</v>
      </c>
      <c r="K205" s="246">
        <v>45388.9</v>
      </c>
      <c r="L205" s="321"/>
      <c r="M205" s="246"/>
    </row>
    <row r="206" spans="1:13" ht="15.75">
      <c r="A206" s="8" t="s">
        <v>127</v>
      </c>
      <c r="B206" s="41" t="s">
        <v>84</v>
      </c>
      <c r="C206" s="21" t="s">
        <v>189</v>
      </c>
      <c r="D206" s="29" t="s">
        <v>187</v>
      </c>
      <c r="E206" s="17" t="s">
        <v>128</v>
      </c>
      <c r="F206" s="7"/>
      <c r="G206" s="11"/>
      <c r="H206" s="37">
        <f>H207+H209</f>
        <v>1707.8</v>
      </c>
      <c r="I206" s="37">
        <f>I207+I209</f>
        <v>0</v>
      </c>
      <c r="J206" s="37">
        <f>J207+J209</f>
        <v>329.6</v>
      </c>
      <c r="K206" s="246"/>
      <c r="L206" s="321"/>
      <c r="M206" s="246"/>
    </row>
    <row r="207" spans="1:13" ht="26.25">
      <c r="A207" s="97" t="s">
        <v>334</v>
      </c>
      <c r="B207" s="41" t="s">
        <v>84</v>
      </c>
      <c r="C207" s="21" t="s">
        <v>189</v>
      </c>
      <c r="D207" s="29" t="s">
        <v>187</v>
      </c>
      <c r="E207" s="17" t="s">
        <v>240</v>
      </c>
      <c r="F207" s="7"/>
      <c r="G207" s="52"/>
      <c r="H207" s="37">
        <f>H208</f>
        <v>1324</v>
      </c>
      <c r="I207" s="37">
        <f>I208</f>
        <v>0</v>
      </c>
      <c r="J207" s="37">
        <f>J208</f>
        <v>329.6</v>
      </c>
      <c r="K207" s="246"/>
      <c r="L207" s="321"/>
      <c r="M207" s="246"/>
    </row>
    <row r="208" spans="1:13" ht="15.75">
      <c r="A208" s="26" t="s">
        <v>142</v>
      </c>
      <c r="B208" s="41" t="s">
        <v>84</v>
      </c>
      <c r="C208" s="21" t="s">
        <v>189</v>
      </c>
      <c r="D208" s="29" t="s">
        <v>187</v>
      </c>
      <c r="E208" s="17" t="s">
        <v>240</v>
      </c>
      <c r="F208" s="7"/>
      <c r="G208" s="11" t="s">
        <v>266</v>
      </c>
      <c r="H208" s="37">
        <f>1200.1+123.9</f>
        <v>1324</v>
      </c>
      <c r="I208" s="37"/>
      <c r="J208" s="246">
        <v>329.6</v>
      </c>
      <c r="K208" s="246"/>
      <c r="L208" s="321"/>
      <c r="M208" s="246"/>
    </row>
    <row r="209" spans="1:13" ht="30">
      <c r="A209" s="213" t="s">
        <v>441</v>
      </c>
      <c r="B209" s="41" t="s">
        <v>84</v>
      </c>
      <c r="C209" s="21" t="s">
        <v>189</v>
      </c>
      <c r="D209" s="29" t="s">
        <v>187</v>
      </c>
      <c r="E209" s="17" t="s">
        <v>282</v>
      </c>
      <c r="F209" s="7"/>
      <c r="G209" s="52"/>
      <c r="H209" s="37">
        <f>H210</f>
        <v>383.8</v>
      </c>
      <c r="I209" s="37"/>
      <c r="J209" s="246"/>
      <c r="K209" s="246"/>
      <c r="L209" s="321"/>
      <c r="M209" s="246"/>
    </row>
    <row r="210" spans="1:13" ht="15.75">
      <c r="A210" s="26" t="s">
        <v>142</v>
      </c>
      <c r="B210" s="41" t="s">
        <v>84</v>
      </c>
      <c r="C210" s="21" t="s">
        <v>189</v>
      </c>
      <c r="D210" s="29" t="s">
        <v>187</v>
      </c>
      <c r="E210" s="17" t="s">
        <v>282</v>
      </c>
      <c r="F210" s="7"/>
      <c r="G210" s="11" t="s">
        <v>266</v>
      </c>
      <c r="H210" s="37">
        <v>383.8</v>
      </c>
      <c r="I210" s="37"/>
      <c r="J210" s="246"/>
      <c r="K210" s="246"/>
      <c r="L210" s="321"/>
      <c r="M210" s="246"/>
    </row>
    <row r="211" spans="1:13" ht="15.75">
      <c r="A211" s="99" t="s">
        <v>126</v>
      </c>
      <c r="B211" s="41" t="s">
        <v>84</v>
      </c>
      <c r="C211" s="21" t="s">
        <v>189</v>
      </c>
      <c r="D211" s="29" t="s">
        <v>201</v>
      </c>
      <c r="E211" s="17"/>
      <c r="F211" s="7"/>
      <c r="G211" s="11"/>
      <c r="H211" s="37">
        <f aca="true" t="shared" si="34" ref="H211:J213">H212</f>
        <v>3630</v>
      </c>
      <c r="I211" s="37">
        <f t="shared" si="34"/>
        <v>0</v>
      </c>
      <c r="J211" s="37">
        <f t="shared" si="34"/>
        <v>1520.3</v>
      </c>
      <c r="K211" s="246"/>
      <c r="L211" s="307">
        <f>J211/H211*100</f>
        <v>41.88154269972452</v>
      </c>
      <c r="M211" s="306"/>
    </row>
    <row r="212" spans="1:13" ht="15.75">
      <c r="A212" s="8" t="s">
        <v>127</v>
      </c>
      <c r="B212" s="41" t="s">
        <v>84</v>
      </c>
      <c r="C212" s="21" t="s">
        <v>189</v>
      </c>
      <c r="D212" s="29" t="s">
        <v>201</v>
      </c>
      <c r="E212" s="17" t="s">
        <v>128</v>
      </c>
      <c r="F212" s="7" t="s">
        <v>49</v>
      </c>
      <c r="G212" s="11"/>
      <c r="H212" s="37">
        <f t="shared" si="34"/>
        <v>3630</v>
      </c>
      <c r="I212" s="37">
        <f t="shared" si="34"/>
        <v>0</v>
      </c>
      <c r="J212" s="37">
        <f t="shared" si="34"/>
        <v>1520.3</v>
      </c>
      <c r="K212" s="246"/>
      <c r="L212" s="321"/>
      <c r="M212" s="246"/>
    </row>
    <row r="213" spans="1:13" ht="26.25">
      <c r="A213" s="97" t="s">
        <v>238</v>
      </c>
      <c r="B213" s="41" t="s">
        <v>84</v>
      </c>
      <c r="C213" s="21" t="s">
        <v>189</v>
      </c>
      <c r="D213" s="29" t="s">
        <v>201</v>
      </c>
      <c r="E213" s="17" t="s">
        <v>239</v>
      </c>
      <c r="F213" s="7" t="s">
        <v>49</v>
      </c>
      <c r="G213" s="11"/>
      <c r="H213" s="37">
        <f t="shared" si="34"/>
        <v>3630</v>
      </c>
      <c r="I213" s="37">
        <f t="shared" si="34"/>
        <v>0</v>
      </c>
      <c r="J213" s="37">
        <f t="shared" si="34"/>
        <v>1520.3</v>
      </c>
      <c r="K213" s="246"/>
      <c r="L213" s="321"/>
      <c r="M213" s="246"/>
    </row>
    <row r="214" spans="1:13" ht="16.5" thickBot="1">
      <c r="A214" s="26" t="s">
        <v>142</v>
      </c>
      <c r="B214" s="15" t="s">
        <v>84</v>
      </c>
      <c r="C214" s="21" t="s">
        <v>189</v>
      </c>
      <c r="D214" s="9" t="s">
        <v>201</v>
      </c>
      <c r="E214" s="14" t="s">
        <v>239</v>
      </c>
      <c r="F214" s="9" t="s">
        <v>129</v>
      </c>
      <c r="G214" s="11" t="s">
        <v>266</v>
      </c>
      <c r="H214" s="39">
        <f>2630-500+1000+500</f>
        <v>3630</v>
      </c>
      <c r="I214" s="39"/>
      <c r="J214" s="248">
        <v>1520.3</v>
      </c>
      <c r="K214" s="248"/>
      <c r="L214" s="180"/>
      <c r="M214" s="248"/>
    </row>
    <row r="215" spans="1:13" ht="38.25" thickBot="1">
      <c r="A215" s="350" t="s">
        <v>458</v>
      </c>
      <c r="B215" s="150" t="s">
        <v>61</v>
      </c>
      <c r="C215" s="151"/>
      <c r="D215" s="152"/>
      <c r="E215" s="151"/>
      <c r="F215" s="152"/>
      <c r="G215" s="153"/>
      <c r="H215" s="154">
        <f>H221+H267+H216+H262</f>
        <v>685297.5000000001</v>
      </c>
      <c r="I215" s="154">
        <f>I221+I267+I216+I262</f>
        <v>268871</v>
      </c>
      <c r="J215" s="154">
        <f>J221+J267+J216+J262</f>
        <v>651074.2000000002</v>
      </c>
      <c r="K215" s="154">
        <f>K221+K267+K216+K262</f>
        <v>263395.3</v>
      </c>
      <c r="L215" s="243">
        <f>J215/H215*100</f>
        <v>95.00606670825445</v>
      </c>
      <c r="M215" s="154">
        <f>K215/I215*100</f>
        <v>97.96344715495535</v>
      </c>
    </row>
    <row r="216" spans="1:13" ht="15" customHeight="1">
      <c r="A216" s="175" t="s">
        <v>113</v>
      </c>
      <c r="B216" s="174" t="s">
        <v>61</v>
      </c>
      <c r="C216" s="174" t="s">
        <v>187</v>
      </c>
      <c r="D216" s="234" t="s">
        <v>123</v>
      </c>
      <c r="E216" s="156"/>
      <c r="F216" s="87"/>
      <c r="G216" s="82"/>
      <c r="H216" s="79">
        <f aca="true" t="shared" si="35" ref="H216:K219">H217</f>
        <v>64</v>
      </c>
      <c r="I216" s="79">
        <f t="shared" si="35"/>
        <v>64</v>
      </c>
      <c r="J216" s="241">
        <f t="shared" si="35"/>
        <v>64</v>
      </c>
      <c r="K216" s="79">
        <f t="shared" si="35"/>
        <v>64</v>
      </c>
      <c r="L216" s="307">
        <f>J216/H216*100</f>
        <v>100</v>
      </c>
      <c r="M216" s="306">
        <f>K216/I216*100</f>
        <v>100</v>
      </c>
    </row>
    <row r="217" spans="1:13" ht="26.25">
      <c r="A217" s="161" t="s">
        <v>105</v>
      </c>
      <c r="B217" s="149" t="s">
        <v>61</v>
      </c>
      <c r="C217" s="149" t="s">
        <v>187</v>
      </c>
      <c r="D217" s="11" t="s">
        <v>186</v>
      </c>
      <c r="E217" s="17"/>
      <c r="F217" s="7"/>
      <c r="G217" s="47"/>
      <c r="H217" s="37">
        <f t="shared" si="35"/>
        <v>64</v>
      </c>
      <c r="I217" s="37">
        <f t="shared" si="35"/>
        <v>64</v>
      </c>
      <c r="J217" s="240">
        <f t="shared" si="35"/>
        <v>64</v>
      </c>
      <c r="K217" s="37">
        <f t="shared" si="35"/>
        <v>64</v>
      </c>
      <c r="L217" s="321"/>
      <c r="M217" s="246"/>
    </row>
    <row r="218" spans="1:13" ht="26.25">
      <c r="A218" s="161" t="s">
        <v>106</v>
      </c>
      <c r="B218" s="149" t="s">
        <v>61</v>
      </c>
      <c r="C218" s="149" t="s">
        <v>187</v>
      </c>
      <c r="D218" s="11" t="s">
        <v>186</v>
      </c>
      <c r="E218" s="17" t="s">
        <v>82</v>
      </c>
      <c r="F218" s="7"/>
      <c r="G218" s="47"/>
      <c r="H218" s="37">
        <f t="shared" si="35"/>
        <v>64</v>
      </c>
      <c r="I218" s="37">
        <f t="shared" si="35"/>
        <v>64</v>
      </c>
      <c r="J218" s="240">
        <f t="shared" si="35"/>
        <v>64</v>
      </c>
      <c r="K218" s="37">
        <f t="shared" si="35"/>
        <v>64</v>
      </c>
      <c r="L218" s="321"/>
      <c r="M218" s="246"/>
    </row>
    <row r="219" spans="1:13" ht="15.75">
      <c r="A219" s="176" t="s">
        <v>27</v>
      </c>
      <c r="B219" s="149" t="s">
        <v>61</v>
      </c>
      <c r="C219" s="149" t="s">
        <v>187</v>
      </c>
      <c r="D219" s="11" t="s">
        <v>186</v>
      </c>
      <c r="E219" s="17" t="s">
        <v>170</v>
      </c>
      <c r="F219" s="7"/>
      <c r="G219" s="47"/>
      <c r="H219" s="37">
        <f t="shared" si="35"/>
        <v>64</v>
      </c>
      <c r="I219" s="37">
        <f t="shared" si="35"/>
        <v>64</v>
      </c>
      <c r="J219" s="240">
        <f t="shared" si="35"/>
        <v>64</v>
      </c>
      <c r="K219" s="37">
        <f t="shared" si="35"/>
        <v>64</v>
      </c>
      <c r="L219" s="321"/>
      <c r="M219" s="246"/>
    </row>
    <row r="220" spans="1:13" ht="15.75">
      <c r="A220" s="176" t="s">
        <v>168</v>
      </c>
      <c r="B220" s="149" t="s">
        <v>61</v>
      </c>
      <c r="C220" s="149" t="s">
        <v>187</v>
      </c>
      <c r="D220" s="11" t="s">
        <v>186</v>
      </c>
      <c r="E220" s="17" t="s">
        <v>170</v>
      </c>
      <c r="F220" s="7" t="s">
        <v>84</v>
      </c>
      <c r="G220" s="47" t="s">
        <v>84</v>
      </c>
      <c r="H220" s="37">
        <f>145-145+64</f>
        <v>64</v>
      </c>
      <c r="I220" s="37">
        <f>145-145+64</f>
        <v>64</v>
      </c>
      <c r="J220" s="63">
        <v>64</v>
      </c>
      <c r="K220" s="63">
        <v>64</v>
      </c>
      <c r="L220" s="321"/>
      <c r="M220" s="246"/>
    </row>
    <row r="221" spans="1:13" ht="15.75">
      <c r="A221" s="106" t="s">
        <v>6</v>
      </c>
      <c r="B221" s="94" t="s">
        <v>61</v>
      </c>
      <c r="C221" s="91" t="s">
        <v>190</v>
      </c>
      <c r="D221" s="103" t="s">
        <v>123</v>
      </c>
      <c r="E221" s="91"/>
      <c r="F221" s="103"/>
      <c r="G221" s="111"/>
      <c r="H221" s="75">
        <f>H227+H245+H249+H222</f>
        <v>675171.8</v>
      </c>
      <c r="I221" s="75">
        <f>I227+I245+I249+I222</f>
        <v>259477.5</v>
      </c>
      <c r="J221" s="75">
        <f>J227+J245+J249+J222</f>
        <v>645734.4000000001</v>
      </c>
      <c r="K221" s="75">
        <f>K227+K245+K249+K222</f>
        <v>258740.09999999998</v>
      </c>
      <c r="L221" s="307">
        <f>J221/H221*100</f>
        <v>95.64001340103366</v>
      </c>
      <c r="M221" s="306">
        <f>K221/I221*100</f>
        <v>99.7158135098419</v>
      </c>
    </row>
    <row r="222" spans="1:13" ht="15.75">
      <c r="A222" s="102" t="s">
        <v>7</v>
      </c>
      <c r="B222" s="93" t="s">
        <v>61</v>
      </c>
      <c r="C222" s="16" t="s">
        <v>190</v>
      </c>
      <c r="D222" s="31" t="s">
        <v>182</v>
      </c>
      <c r="E222" s="16"/>
      <c r="F222" s="31"/>
      <c r="G222" s="113"/>
      <c r="H222" s="79">
        <f>H223</f>
        <v>253329.3</v>
      </c>
      <c r="I222" s="79">
        <f>I223</f>
        <v>0</v>
      </c>
      <c r="J222" s="246">
        <f>J223</f>
        <v>237769</v>
      </c>
      <c r="K222" s="246">
        <f>K223</f>
        <v>0</v>
      </c>
      <c r="L222" s="321"/>
      <c r="M222" s="246"/>
    </row>
    <row r="223" spans="1:13" ht="15.75">
      <c r="A223" s="102" t="s">
        <v>7</v>
      </c>
      <c r="B223" s="93" t="s">
        <v>61</v>
      </c>
      <c r="C223" s="16" t="s">
        <v>190</v>
      </c>
      <c r="D223" s="31" t="s">
        <v>182</v>
      </c>
      <c r="E223" s="16"/>
      <c r="F223" s="31"/>
      <c r="G223" s="113"/>
      <c r="H223" s="79">
        <f aca="true" t="shared" si="36" ref="H223:I225">H224</f>
        <v>253329.3</v>
      </c>
      <c r="I223" s="79">
        <f t="shared" si="36"/>
        <v>0</v>
      </c>
      <c r="J223" s="246">
        <f aca="true" t="shared" si="37" ref="J223:K225">J224</f>
        <v>237769</v>
      </c>
      <c r="K223" s="246">
        <f t="shared" si="37"/>
        <v>0</v>
      </c>
      <c r="L223" s="321"/>
      <c r="M223" s="246"/>
    </row>
    <row r="224" spans="1:13" ht="15.75">
      <c r="A224" s="24" t="s">
        <v>8</v>
      </c>
      <c r="B224" s="41" t="s">
        <v>61</v>
      </c>
      <c r="C224" s="17" t="s">
        <v>190</v>
      </c>
      <c r="D224" s="29" t="s">
        <v>182</v>
      </c>
      <c r="E224" s="17" t="s">
        <v>26</v>
      </c>
      <c r="F224" s="29"/>
      <c r="G224" s="76"/>
      <c r="H224" s="37">
        <f t="shared" si="36"/>
        <v>253329.3</v>
      </c>
      <c r="I224" s="37">
        <f t="shared" si="36"/>
        <v>0</v>
      </c>
      <c r="J224" s="246">
        <f t="shared" si="37"/>
        <v>237769</v>
      </c>
      <c r="K224" s="246">
        <f t="shared" si="37"/>
        <v>0</v>
      </c>
      <c r="L224" s="321"/>
      <c r="M224" s="246"/>
    </row>
    <row r="225" spans="1:13" s="22" customFormat="1" ht="15.75">
      <c r="A225" s="25" t="s">
        <v>27</v>
      </c>
      <c r="B225" s="41" t="s">
        <v>61</v>
      </c>
      <c r="C225" s="17" t="s">
        <v>190</v>
      </c>
      <c r="D225" s="29" t="s">
        <v>182</v>
      </c>
      <c r="E225" s="17" t="s">
        <v>206</v>
      </c>
      <c r="F225" s="29"/>
      <c r="G225" s="54"/>
      <c r="H225" s="37">
        <f t="shared" si="36"/>
        <v>253329.3</v>
      </c>
      <c r="I225" s="37">
        <f t="shared" si="36"/>
        <v>0</v>
      </c>
      <c r="J225" s="246">
        <f t="shared" si="37"/>
        <v>237769</v>
      </c>
      <c r="K225" s="246">
        <f t="shared" si="37"/>
        <v>0</v>
      </c>
      <c r="L225" s="106"/>
      <c r="M225" s="254"/>
    </row>
    <row r="226" spans="1:13" ht="15.75">
      <c r="A226" s="25" t="s">
        <v>168</v>
      </c>
      <c r="B226" s="42" t="s">
        <v>61</v>
      </c>
      <c r="C226" s="19" t="s">
        <v>190</v>
      </c>
      <c r="D226" s="30" t="s">
        <v>182</v>
      </c>
      <c r="E226" s="17" t="s">
        <v>206</v>
      </c>
      <c r="F226" s="29"/>
      <c r="G226" s="85" t="s">
        <v>84</v>
      </c>
      <c r="H226" s="37">
        <f>256029.3-2700</f>
        <v>253329.3</v>
      </c>
      <c r="I226" s="35"/>
      <c r="J226" s="246">
        <v>237769</v>
      </c>
      <c r="K226" s="246">
        <v>0</v>
      </c>
      <c r="L226" s="321"/>
      <c r="M226" s="246"/>
    </row>
    <row r="227" spans="1:13" ht="15.75">
      <c r="A227" s="99" t="s">
        <v>9</v>
      </c>
      <c r="B227" s="96" t="s">
        <v>61</v>
      </c>
      <c r="C227" s="92" t="s">
        <v>190</v>
      </c>
      <c r="D227" s="105" t="s">
        <v>183</v>
      </c>
      <c r="E227" s="91"/>
      <c r="F227" s="103"/>
      <c r="G227" s="111"/>
      <c r="H227" s="75">
        <f>H228+H231+H236+H234</f>
        <v>380012.30000000005</v>
      </c>
      <c r="I227" s="75">
        <f>I228+I231+I236+I234</f>
        <v>250933.2</v>
      </c>
      <c r="J227" s="75">
        <f>J228+J231+J236+J234</f>
        <v>366765.30000000005</v>
      </c>
      <c r="K227" s="75">
        <f>K228+K231+K236+K234</f>
        <v>250213.09999999998</v>
      </c>
      <c r="L227" s="307">
        <f>J227/H227*100</f>
        <v>96.51406020278817</v>
      </c>
      <c r="M227" s="306">
        <f>K227/I227*100</f>
        <v>99.71303119714727</v>
      </c>
    </row>
    <row r="228" spans="1:13" ht="15.75">
      <c r="A228" s="138" t="s">
        <v>108</v>
      </c>
      <c r="B228" s="42" t="s">
        <v>61</v>
      </c>
      <c r="C228" s="19" t="s">
        <v>190</v>
      </c>
      <c r="D228" s="30" t="s">
        <v>183</v>
      </c>
      <c r="E228" s="19" t="s">
        <v>28</v>
      </c>
      <c r="F228" s="30"/>
      <c r="G228" s="76"/>
      <c r="H228" s="37">
        <f>H230</f>
        <v>326327.2</v>
      </c>
      <c r="I228" s="36">
        <f>I230</f>
        <v>239299.2</v>
      </c>
      <c r="J228" s="246">
        <f>J229</f>
        <v>315689.7</v>
      </c>
      <c r="K228" s="246">
        <f>K229</f>
        <v>239186.8</v>
      </c>
      <c r="L228" s="321"/>
      <c r="M228" s="246"/>
    </row>
    <row r="229" spans="1:13" s="22" customFormat="1" ht="15.75">
      <c r="A229" s="25" t="s">
        <v>27</v>
      </c>
      <c r="B229" s="42" t="s">
        <v>61</v>
      </c>
      <c r="C229" s="19" t="s">
        <v>190</v>
      </c>
      <c r="D229" s="30" t="s">
        <v>183</v>
      </c>
      <c r="E229" s="19" t="s">
        <v>207</v>
      </c>
      <c r="F229" s="30"/>
      <c r="G229" s="76"/>
      <c r="H229" s="37">
        <f>H230</f>
        <v>326327.2</v>
      </c>
      <c r="I229" s="37">
        <f>I230</f>
        <v>239299.2</v>
      </c>
      <c r="J229" s="246">
        <f>J230</f>
        <v>315689.7</v>
      </c>
      <c r="K229" s="246">
        <f>K230</f>
        <v>239186.8</v>
      </c>
      <c r="L229" s="106"/>
      <c r="M229" s="254"/>
    </row>
    <row r="230" spans="1:13" ht="15.75">
      <c r="A230" s="8" t="s">
        <v>168</v>
      </c>
      <c r="B230" s="41" t="s">
        <v>61</v>
      </c>
      <c r="C230" s="17" t="s">
        <v>190</v>
      </c>
      <c r="D230" s="29" t="s">
        <v>183</v>
      </c>
      <c r="E230" s="17" t="s">
        <v>207</v>
      </c>
      <c r="F230" s="29"/>
      <c r="G230" s="76" t="s">
        <v>84</v>
      </c>
      <c r="H230" s="37">
        <f>329997.2-3670</f>
        <v>326327.2</v>
      </c>
      <c r="I230" s="37">
        <f>231736+7802-238.8</f>
        <v>239299.2</v>
      </c>
      <c r="J230" s="246">
        <v>315689.7</v>
      </c>
      <c r="K230" s="246">
        <f>231623.8+7800.6-237.6</f>
        <v>239186.8</v>
      </c>
      <c r="L230" s="321"/>
      <c r="M230" s="246"/>
    </row>
    <row r="231" spans="1:13" ht="15.75">
      <c r="A231" s="32" t="s">
        <v>31</v>
      </c>
      <c r="B231" s="15" t="s">
        <v>61</v>
      </c>
      <c r="C231" s="17" t="s">
        <v>190</v>
      </c>
      <c r="D231" s="29" t="s">
        <v>183</v>
      </c>
      <c r="E231" s="14" t="s">
        <v>32</v>
      </c>
      <c r="F231" s="9"/>
      <c r="G231" s="76"/>
      <c r="H231" s="37">
        <f aca="true" t="shared" si="38" ref="H231:J232">H232</f>
        <v>42003.7</v>
      </c>
      <c r="I231" s="37">
        <f t="shared" si="38"/>
        <v>0</v>
      </c>
      <c r="J231" s="246">
        <f t="shared" si="38"/>
        <v>40001.9</v>
      </c>
      <c r="K231" s="246"/>
      <c r="L231" s="321"/>
      <c r="M231" s="246"/>
    </row>
    <row r="232" spans="1:13" ht="15.75">
      <c r="A232" s="25" t="s">
        <v>27</v>
      </c>
      <c r="B232" s="42" t="s">
        <v>61</v>
      </c>
      <c r="C232" s="17" t="s">
        <v>190</v>
      </c>
      <c r="D232" s="29" t="s">
        <v>183</v>
      </c>
      <c r="E232" s="19" t="s">
        <v>208</v>
      </c>
      <c r="F232" s="9"/>
      <c r="G232" s="54"/>
      <c r="H232" s="37">
        <f t="shared" si="38"/>
        <v>42003.7</v>
      </c>
      <c r="I232" s="37">
        <f t="shared" si="38"/>
        <v>0</v>
      </c>
      <c r="J232" s="246">
        <f t="shared" si="38"/>
        <v>40001.9</v>
      </c>
      <c r="K232" s="246"/>
      <c r="L232" s="321"/>
      <c r="M232" s="246"/>
    </row>
    <row r="233" spans="1:13" ht="15.75">
      <c r="A233" s="8" t="s">
        <v>168</v>
      </c>
      <c r="B233" s="42" t="s">
        <v>61</v>
      </c>
      <c r="C233" s="17" t="s">
        <v>190</v>
      </c>
      <c r="D233" s="29" t="s">
        <v>183</v>
      </c>
      <c r="E233" s="19" t="s">
        <v>208</v>
      </c>
      <c r="F233" s="9"/>
      <c r="G233" s="76" t="s">
        <v>84</v>
      </c>
      <c r="H233" s="37">
        <v>42003.7</v>
      </c>
      <c r="I233" s="37"/>
      <c r="J233" s="246">
        <v>40001.9</v>
      </c>
      <c r="K233" s="246"/>
      <c r="L233" s="321"/>
      <c r="M233" s="246"/>
    </row>
    <row r="234" spans="1:13" ht="15.75">
      <c r="A234" s="81" t="s">
        <v>378</v>
      </c>
      <c r="B234" s="42" t="s">
        <v>61</v>
      </c>
      <c r="C234" s="17" t="s">
        <v>190</v>
      </c>
      <c r="D234" s="29" t="s">
        <v>183</v>
      </c>
      <c r="E234" s="19" t="s">
        <v>379</v>
      </c>
      <c r="F234" s="9"/>
      <c r="G234" s="76"/>
      <c r="H234" s="37">
        <f>H235</f>
        <v>327</v>
      </c>
      <c r="I234" s="37">
        <f>I235</f>
        <v>327</v>
      </c>
      <c r="J234" s="246">
        <f>J235</f>
        <v>252.4</v>
      </c>
      <c r="K234" s="246">
        <f>K235</f>
        <v>252.4</v>
      </c>
      <c r="L234" s="321"/>
      <c r="M234" s="246"/>
    </row>
    <row r="235" spans="1:13" ht="15.75">
      <c r="A235" s="81" t="s">
        <v>168</v>
      </c>
      <c r="B235" s="42" t="s">
        <v>61</v>
      </c>
      <c r="C235" s="17" t="s">
        <v>190</v>
      </c>
      <c r="D235" s="29" t="s">
        <v>183</v>
      </c>
      <c r="E235" s="19" t="s">
        <v>379</v>
      </c>
      <c r="F235" s="9" t="s">
        <v>84</v>
      </c>
      <c r="G235" s="76" t="s">
        <v>84</v>
      </c>
      <c r="H235" s="37">
        <v>327</v>
      </c>
      <c r="I235" s="37">
        <f>347-20</f>
        <v>327</v>
      </c>
      <c r="J235" s="246">
        <v>252.4</v>
      </c>
      <c r="K235" s="246">
        <v>252.4</v>
      </c>
      <c r="L235" s="321"/>
      <c r="M235" s="246"/>
    </row>
    <row r="236" spans="1:13" ht="15.75">
      <c r="A236" s="25" t="s">
        <v>122</v>
      </c>
      <c r="B236" s="42" t="s">
        <v>61</v>
      </c>
      <c r="C236" s="17" t="s">
        <v>190</v>
      </c>
      <c r="D236" s="29" t="s">
        <v>183</v>
      </c>
      <c r="E236" s="19" t="s">
        <v>93</v>
      </c>
      <c r="F236" s="9"/>
      <c r="G236" s="76"/>
      <c r="H236" s="37">
        <f>H237+H239</f>
        <v>11354.4</v>
      </c>
      <c r="I236" s="37">
        <f>I237+I239</f>
        <v>11307</v>
      </c>
      <c r="J236" s="37">
        <f>J237+J239</f>
        <v>10821.3</v>
      </c>
      <c r="K236" s="37">
        <f>K237+K239</f>
        <v>10773.9</v>
      </c>
      <c r="L236" s="321"/>
      <c r="M236" s="246"/>
    </row>
    <row r="237" spans="1:13" ht="15.75">
      <c r="A237" s="25" t="s">
        <v>95</v>
      </c>
      <c r="B237" s="42" t="s">
        <v>61</v>
      </c>
      <c r="C237" s="17" t="s">
        <v>190</v>
      </c>
      <c r="D237" s="29" t="s">
        <v>183</v>
      </c>
      <c r="E237" s="19" t="s">
        <v>209</v>
      </c>
      <c r="F237" s="9"/>
      <c r="G237" s="54"/>
      <c r="H237" s="37">
        <f>H238</f>
        <v>4172</v>
      </c>
      <c r="I237" s="37">
        <f>I238</f>
        <v>4172</v>
      </c>
      <c r="J237" s="246">
        <f>J238</f>
        <v>3803.9</v>
      </c>
      <c r="K237" s="246">
        <f>K238</f>
        <v>3803.9</v>
      </c>
      <c r="L237" s="321"/>
      <c r="M237" s="246"/>
    </row>
    <row r="238" spans="1:13" ht="15.75">
      <c r="A238" s="8" t="s">
        <v>168</v>
      </c>
      <c r="B238" s="42" t="s">
        <v>61</v>
      </c>
      <c r="C238" s="17" t="s">
        <v>190</v>
      </c>
      <c r="D238" s="30" t="s">
        <v>183</v>
      </c>
      <c r="E238" s="19" t="s">
        <v>209</v>
      </c>
      <c r="F238" s="9"/>
      <c r="G238" s="76" t="s">
        <v>84</v>
      </c>
      <c r="H238" s="37">
        <v>4172</v>
      </c>
      <c r="I238" s="37">
        <v>4172</v>
      </c>
      <c r="J238" s="246">
        <v>3803.9</v>
      </c>
      <c r="K238" s="246">
        <v>3803.9</v>
      </c>
      <c r="L238" s="321"/>
      <c r="M238" s="246"/>
    </row>
    <row r="239" spans="1:13" ht="26.25">
      <c r="A239" s="131" t="s">
        <v>412</v>
      </c>
      <c r="B239" s="42" t="s">
        <v>61</v>
      </c>
      <c r="C239" s="17" t="s">
        <v>190</v>
      </c>
      <c r="D239" s="30" t="s">
        <v>183</v>
      </c>
      <c r="E239" s="19" t="s">
        <v>380</v>
      </c>
      <c r="F239" s="9"/>
      <c r="G239" s="76"/>
      <c r="H239" s="37">
        <f>H244+H241+H240</f>
        <v>7182.4</v>
      </c>
      <c r="I239" s="37">
        <f>I244+I241</f>
        <v>7135</v>
      </c>
      <c r="J239" s="37">
        <f>J244+J241+J240</f>
        <v>7017.4</v>
      </c>
      <c r="K239" s="37">
        <f>K244+K241</f>
        <v>6970</v>
      </c>
      <c r="L239" s="321"/>
      <c r="M239" s="246"/>
    </row>
    <row r="240" spans="1:13" ht="26.25">
      <c r="A240" s="131" t="s">
        <v>412</v>
      </c>
      <c r="B240" s="42" t="s">
        <v>61</v>
      </c>
      <c r="C240" s="17" t="s">
        <v>190</v>
      </c>
      <c r="D240" s="30" t="s">
        <v>183</v>
      </c>
      <c r="E240" s="19" t="s">
        <v>380</v>
      </c>
      <c r="F240" s="9"/>
      <c r="G240" s="76"/>
      <c r="H240" s="37">
        <v>47.4</v>
      </c>
      <c r="I240" s="37"/>
      <c r="J240" s="246">
        <v>47.4</v>
      </c>
      <c r="K240" s="246">
        <v>0</v>
      </c>
      <c r="L240" s="321"/>
      <c r="M240" s="246"/>
    </row>
    <row r="241" spans="1:13" ht="26.25">
      <c r="A241" s="131" t="s">
        <v>413</v>
      </c>
      <c r="B241" s="42" t="s">
        <v>61</v>
      </c>
      <c r="C241" s="17" t="s">
        <v>190</v>
      </c>
      <c r="D241" s="30" t="s">
        <v>183</v>
      </c>
      <c r="E241" s="19" t="s">
        <v>411</v>
      </c>
      <c r="F241" s="9"/>
      <c r="G241" s="76"/>
      <c r="H241" s="37">
        <f>H242</f>
        <v>4170</v>
      </c>
      <c r="I241" s="37">
        <f>I242</f>
        <v>4170</v>
      </c>
      <c r="J241" s="63">
        <f>J242</f>
        <v>4170</v>
      </c>
      <c r="K241" s="63">
        <f>K242</f>
        <v>4170</v>
      </c>
      <c r="L241" s="321"/>
      <c r="M241" s="246"/>
    </row>
    <row r="242" spans="1:13" ht="15.75">
      <c r="A242" s="81" t="s">
        <v>168</v>
      </c>
      <c r="B242" s="42" t="s">
        <v>61</v>
      </c>
      <c r="C242" s="17" t="s">
        <v>190</v>
      </c>
      <c r="D242" s="30" t="s">
        <v>183</v>
      </c>
      <c r="E242" s="19" t="s">
        <v>411</v>
      </c>
      <c r="F242" s="9"/>
      <c r="G242" s="76" t="s">
        <v>84</v>
      </c>
      <c r="H242" s="37">
        <v>4170</v>
      </c>
      <c r="I242" s="37">
        <v>4170</v>
      </c>
      <c r="J242" s="63">
        <v>4170</v>
      </c>
      <c r="K242" s="63">
        <v>4170</v>
      </c>
      <c r="L242" s="321"/>
      <c r="M242" s="246"/>
    </row>
    <row r="243" spans="1:13" ht="26.25">
      <c r="A243" s="131" t="s">
        <v>416</v>
      </c>
      <c r="B243" s="42" t="s">
        <v>61</v>
      </c>
      <c r="C243" s="17" t="s">
        <v>190</v>
      </c>
      <c r="D243" s="30" t="s">
        <v>183</v>
      </c>
      <c r="E243" s="19" t="s">
        <v>417</v>
      </c>
      <c r="F243" s="9"/>
      <c r="G243" s="76"/>
      <c r="H243" s="37">
        <f>H244</f>
        <v>2965</v>
      </c>
      <c r="I243" s="37">
        <f>I244</f>
        <v>2965</v>
      </c>
      <c r="J243" s="63">
        <f>J244</f>
        <v>2800</v>
      </c>
      <c r="K243" s="63">
        <f>K244</f>
        <v>2800</v>
      </c>
      <c r="L243" s="321"/>
      <c r="M243" s="246"/>
    </row>
    <row r="244" spans="1:13" ht="15.75">
      <c r="A244" s="81" t="s">
        <v>168</v>
      </c>
      <c r="B244" s="42" t="s">
        <v>61</v>
      </c>
      <c r="C244" s="17" t="s">
        <v>190</v>
      </c>
      <c r="D244" s="30" t="s">
        <v>183</v>
      </c>
      <c r="E244" s="19" t="s">
        <v>417</v>
      </c>
      <c r="F244" s="9" t="s">
        <v>84</v>
      </c>
      <c r="G244" s="76" t="s">
        <v>84</v>
      </c>
      <c r="H244" s="37">
        <f>6.8-6.8+2965</f>
        <v>2965</v>
      </c>
      <c r="I244" s="37">
        <v>2965</v>
      </c>
      <c r="J244" s="63">
        <v>2800</v>
      </c>
      <c r="K244" s="63">
        <v>2800</v>
      </c>
      <c r="L244" s="321"/>
      <c r="M244" s="246"/>
    </row>
    <row r="245" spans="1:13" ht="15.75">
      <c r="A245" s="104" t="s">
        <v>29</v>
      </c>
      <c r="B245" s="96" t="s">
        <v>61</v>
      </c>
      <c r="C245" s="91" t="s">
        <v>190</v>
      </c>
      <c r="D245" s="105" t="s">
        <v>190</v>
      </c>
      <c r="E245" s="91"/>
      <c r="F245" s="103"/>
      <c r="G245" s="111"/>
      <c r="H245" s="306">
        <f aca="true" t="shared" si="39" ref="H245:I247">H246</f>
        <v>2640.3999999999996</v>
      </c>
      <c r="I245" s="306">
        <f t="shared" si="39"/>
        <v>0</v>
      </c>
      <c r="J245" s="247">
        <f>J246</f>
        <v>2556.7</v>
      </c>
      <c r="K245" s="247"/>
      <c r="L245" s="307">
        <f>J245/H245*100</f>
        <v>96.83002575367368</v>
      </c>
      <c r="M245" s="306"/>
    </row>
    <row r="246" spans="1:13" ht="15.75">
      <c r="A246" s="45" t="s">
        <v>211</v>
      </c>
      <c r="B246" s="42" t="s">
        <v>61</v>
      </c>
      <c r="C246" s="17" t="s">
        <v>190</v>
      </c>
      <c r="D246" s="30" t="s">
        <v>190</v>
      </c>
      <c r="E246" s="19" t="s">
        <v>30</v>
      </c>
      <c r="F246" s="9"/>
      <c r="G246" s="76"/>
      <c r="H246" s="37">
        <f t="shared" si="39"/>
        <v>2640.3999999999996</v>
      </c>
      <c r="I246" s="37">
        <f t="shared" si="39"/>
        <v>0</v>
      </c>
      <c r="J246" s="246">
        <f>J247</f>
        <v>2556.7</v>
      </c>
      <c r="K246" s="246"/>
      <c r="L246" s="321"/>
      <c r="M246" s="246"/>
    </row>
    <row r="247" spans="1:13" ht="15.75">
      <c r="A247" s="24" t="s">
        <v>212</v>
      </c>
      <c r="B247" s="42" t="s">
        <v>61</v>
      </c>
      <c r="C247" s="17" t="s">
        <v>190</v>
      </c>
      <c r="D247" s="30" t="s">
        <v>190</v>
      </c>
      <c r="E247" s="19" t="s">
        <v>213</v>
      </c>
      <c r="F247" s="9"/>
      <c r="G247" s="54"/>
      <c r="H247" s="37">
        <f t="shared" si="39"/>
        <v>2640.3999999999996</v>
      </c>
      <c r="I247" s="37">
        <f t="shared" si="39"/>
        <v>0</v>
      </c>
      <c r="J247" s="246">
        <f>J248</f>
        <v>2556.7</v>
      </c>
      <c r="K247" s="246"/>
      <c r="L247" s="321"/>
      <c r="M247" s="246"/>
    </row>
    <row r="248" spans="1:13" ht="15.75">
      <c r="A248" s="25" t="s">
        <v>168</v>
      </c>
      <c r="B248" s="42" t="s">
        <v>61</v>
      </c>
      <c r="C248" s="17" t="s">
        <v>190</v>
      </c>
      <c r="D248" s="30" t="s">
        <v>190</v>
      </c>
      <c r="E248" s="19" t="s">
        <v>213</v>
      </c>
      <c r="F248" s="9"/>
      <c r="G248" s="76" t="s">
        <v>84</v>
      </c>
      <c r="H248" s="37">
        <f>2002.3+11.4+890-263.3</f>
        <v>2640.3999999999996</v>
      </c>
      <c r="I248" s="37"/>
      <c r="J248" s="246">
        <v>2556.7</v>
      </c>
      <c r="K248" s="246"/>
      <c r="L248" s="321"/>
      <c r="M248" s="246"/>
    </row>
    <row r="249" spans="1:13" ht="15.75">
      <c r="A249" s="106" t="s">
        <v>33</v>
      </c>
      <c r="B249" s="94" t="s">
        <v>61</v>
      </c>
      <c r="C249" s="91" t="s">
        <v>190</v>
      </c>
      <c r="D249" s="103" t="s">
        <v>188</v>
      </c>
      <c r="E249" s="91"/>
      <c r="F249" s="103"/>
      <c r="G249" s="111"/>
      <c r="H249" s="306">
        <f>H256+H250+H259+H253</f>
        <v>39189.8</v>
      </c>
      <c r="I249" s="306">
        <f>I256+I250+I259+I253</f>
        <v>8544.3</v>
      </c>
      <c r="J249" s="306">
        <f>J256+J250+J259+J253</f>
        <v>38643.4</v>
      </c>
      <c r="K249" s="306">
        <f>K256+K250+K259+K253</f>
        <v>8527</v>
      </c>
      <c r="L249" s="307">
        <f>J249/H249*100</f>
        <v>98.60575966195285</v>
      </c>
      <c r="M249" s="306">
        <f>K249/I249*100</f>
        <v>99.79752583593742</v>
      </c>
    </row>
    <row r="250" spans="1:13" s="22" customFormat="1" ht="15.75">
      <c r="A250" s="45" t="s">
        <v>143</v>
      </c>
      <c r="B250" s="41" t="s">
        <v>61</v>
      </c>
      <c r="C250" s="17" t="s">
        <v>190</v>
      </c>
      <c r="D250" s="29" t="s">
        <v>188</v>
      </c>
      <c r="E250" s="17" t="s">
        <v>265</v>
      </c>
      <c r="F250" s="29"/>
      <c r="G250" s="76"/>
      <c r="H250" s="37">
        <f aca="true" t="shared" si="40" ref="H250:J251">H251</f>
        <v>10389.7</v>
      </c>
      <c r="I250" s="37">
        <f t="shared" si="40"/>
        <v>0</v>
      </c>
      <c r="J250" s="246">
        <f t="shared" si="40"/>
        <v>10066.9</v>
      </c>
      <c r="K250" s="254"/>
      <c r="L250" s="106"/>
      <c r="M250" s="254"/>
    </row>
    <row r="251" spans="1:13" ht="15.75">
      <c r="A251" s="26" t="s">
        <v>50</v>
      </c>
      <c r="B251" s="41" t="s">
        <v>61</v>
      </c>
      <c r="C251" s="17" t="s">
        <v>190</v>
      </c>
      <c r="D251" s="29" t="s">
        <v>188</v>
      </c>
      <c r="E251" s="17" t="s">
        <v>267</v>
      </c>
      <c r="F251" s="29"/>
      <c r="G251" s="76"/>
      <c r="H251" s="37">
        <f t="shared" si="40"/>
        <v>10389.7</v>
      </c>
      <c r="I251" s="37">
        <f t="shared" si="40"/>
        <v>0</v>
      </c>
      <c r="J251" s="246">
        <f t="shared" si="40"/>
        <v>10066.9</v>
      </c>
      <c r="K251" s="246"/>
      <c r="L251" s="321"/>
      <c r="M251" s="246"/>
    </row>
    <row r="252" spans="1:13" ht="15.75">
      <c r="A252" s="26" t="s">
        <v>251</v>
      </c>
      <c r="B252" s="41" t="s">
        <v>61</v>
      </c>
      <c r="C252" s="17" t="s">
        <v>190</v>
      </c>
      <c r="D252" s="29" t="s">
        <v>188</v>
      </c>
      <c r="E252" s="17" t="s">
        <v>267</v>
      </c>
      <c r="F252" s="29"/>
      <c r="G252" s="76" t="s">
        <v>266</v>
      </c>
      <c r="H252" s="37">
        <v>10389.7</v>
      </c>
      <c r="I252" s="35"/>
      <c r="J252" s="246">
        <v>10066.9</v>
      </c>
      <c r="K252" s="246"/>
      <c r="L252" s="321"/>
      <c r="M252" s="246"/>
    </row>
    <row r="253" spans="1:13" ht="15.75">
      <c r="A253" s="81" t="s">
        <v>258</v>
      </c>
      <c r="B253" s="42" t="s">
        <v>61</v>
      </c>
      <c r="C253" s="17" t="s">
        <v>190</v>
      </c>
      <c r="D253" s="29" t="s">
        <v>188</v>
      </c>
      <c r="E253" s="19" t="s">
        <v>259</v>
      </c>
      <c r="F253" s="9"/>
      <c r="G253" s="76"/>
      <c r="H253" s="37">
        <f aca="true" t="shared" si="41" ref="H253:K254">H254</f>
        <v>8107.8</v>
      </c>
      <c r="I253" s="37">
        <f t="shared" si="41"/>
        <v>8107.8</v>
      </c>
      <c r="J253" s="246">
        <f t="shared" si="41"/>
        <v>8102.6</v>
      </c>
      <c r="K253" s="246">
        <f t="shared" si="41"/>
        <v>8102.6</v>
      </c>
      <c r="L253" s="321"/>
      <c r="M253" s="246"/>
    </row>
    <row r="254" spans="1:13" s="22" customFormat="1" ht="15.75">
      <c r="A254" s="81" t="s">
        <v>261</v>
      </c>
      <c r="B254" s="42" t="s">
        <v>61</v>
      </c>
      <c r="C254" s="17" t="s">
        <v>190</v>
      </c>
      <c r="D254" s="29" t="s">
        <v>188</v>
      </c>
      <c r="E254" s="19" t="s">
        <v>260</v>
      </c>
      <c r="F254" s="9"/>
      <c r="G254" s="76"/>
      <c r="H254" s="37">
        <f t="shared" si="41"/>
        <v>8107.8</v>
      </c>
      <c r="I254" s="36">
        <f t="shared" si="41"/>
        <v>8107.8</v>
      </c>
      <c r="J254" s="246">
        <f t="shared" si="41"/>
        <v>8102.6</v>
      </c>
      <c r="K254" s="246">
        <f t="shared" si="41"/>
        <v>8102.6</v>
      </c>
      <c r="L254" s="106"/>
      <c r="M254" s="254"/>
    </row>
    <row r="255" spans="1:13" ht="15.75">
      <c r="A255" s="81" t="s">
        <v>262</v>
      </c>
      <c r="B255" s="42" t="s">
        <v>61</v>
      </c>
      <c r="C255" s="17" t="s">
        <v>190</v>
      </c>
      <c r="D255" s="29" t="s">
        <v>188</v>
      </c>
      <c r="E255" s="19" t="s">
        <v>260</v>
      </c>
      <c r="F255" s="9"/>
      <c r="G255" s="76" t="s">
        <v>263</v>
      </c>
      <c r="H255" s="37">
        <v>8107.8</v>
      </c>
      <c r="I255" s="37">
        <v>8107.8</v>
      </c>
      <c r="J255" s="246">
        <v>8102.6</v>
      </c>
      <c r="K255" s="246">
        <v>8102.6</v>
      </c>
      <c r="L255" s="321"/>
      <c r="M255" s="246"/>
    </row>
    <row r="256" spans="1:13" ht="39">
      <c r="A256" s="44" t="s">
        <v>109</v>
      </c>
      <c r="B256" s="41" t="s">
        <v>61</v>
      </c>
      <c r="C256" s="17" t="s">
        <v>190</v>
      </c>
      <c r="D256" s="29" t="s">
        <v>188</v>
      </c>
      <c r="E256" s="17" t="s">
        <v>40</v>
      </c>
      <c r="F256" s="29"/>
      <c r="G256" s="76"/>
      <c r="H256" s="37">
        <f aca="true" t="shared" si="42" ref="H256:K257">H257</f>
        <v>10362.9</v>
      </c>
      <c r="I256" s="37">
        <f t="shared" si="42"/>
        <v>436.5</v>
      </c>
      <c r="J256" s="246">
        <f t="shared" si="42"/>
        <v>10189.2</v>
      </c>
      <c r="K256" s="246">
        <f t="shared" si="42"/>
        <v>424.4</v>
      </c>
      <c r="L256" s="321"/>
      <c r="M256" s="246"/>
    </row>
    <row r="257" spans="1:13" ht="15.75">
      <c r="A257" s="24" t="s">
        <v>27</v>
      </c>
      <c r="B257" s="42" t="s">
        <v>61</v>
      </c>
      <c r="C257" s="17" t="s">
        <v>190</v>
      </c>
      <c r="D257" s="29" t="s">
        <v>188</v>
      </c>
      <c r="E257" s="19" t="s">
        <v>214</v>
      </c>
      <c r="F257" s="30"/>
      <c r="G257" s="78"/>
      <c r="H257" s="35">
        <f t="shared" si="42"/>
        <v>10362.9</v>
      </c>
      <c r="I257" s="35">
        <f t="shared" si="42"/>
        <v>436.5</v>
      </c>
      <c r="J257" s="246">
        <f t="shared" si="42"/>
        <v>10189.2</v>
      </c>
      <c r="K257" s="246">
        <f t="shared" si="42"/>
        <v>424.4</v>
      </c>
      <c r="L257" s="321"/>
      <c r="M257" s="246"/>
    </row>
    <row r="258" spans="1:13" ht="15.75">
      <c r="A258" s="25" t="s">
        <v>168</v>
      </c>
      <c r="B258" s="42" t="s">
        <v>61</v>
      </c>
      <c r="C258" s="17" t="s">
        <v>190</v>
      </c>
      <c r="D258" s="29" t="s">
        <v>188</v>
      </c>
      <c r="E258" s="19" t="s">
        <v>214</v>
      </c>
      <c r="F258" s="30"/>
      <c r="G258" s="76" t="s">
        <v>84</v>
      </c>
      <c r="H258" s="35">
        <v>10362.9</v>
      </c>
      <c r="I258" s="35">
        <f>749-12.5-300</f>
        <v>436.5</v>
      </c>
      <c r="J258" s="246">
        <v>10189.2</v>
      </c>
      <c r="K258" s="246">
        <v>424.4</v>
      </c>
      <c r="L258" s="321"/>
      <c r="M258" s="246"/>
    </row>
    <row r="259" spans="1:13" ht="26.25" customHeight="1">
      <c r="A259" s="24" t="s">
        <v>127</v>
      </c>
      <c r="B259" s="42" t="s">
        <v>61</v>
      </c>
      <c r="C259" s="17" t="s">
        <v>190</v>
      </c>
      <c r="D259" s="29" t="s">
        <v>188</v>
      </c>
      <c r="E259" s="19" t="s">
        <v>128</v>
      </c>
      <c r="F259" s="30"/>
      <c r="G259" s="76"/>
      <c r="H259" s="35">
        <f aca="true" t="shared" si="43" ref="H259:J260">H260</f>
        <v>10329.4</v>
      </c>
      <c r="I259" s="35">
        <f t="shared" si="43"/>
        <v>0</v>
      </c>
      <c r="J259" s="246">
        <f t="shared" si="43"/>
        <v>10284.7</v>
      </c>
      <c r="K259" s="246"/>
      <c r="L259" s="321"/>
      <c r="M259" s="246"/>
    </row>
    <row r="260" spans="1:13" ht="26.25">
      <c r="A260" s="97" t="s">
        <v>215</v>
      </c>
      <c r="B260" s="42" t="s">
        <v>61</v>
      </c>
      <c r="C260" s="17" t="s">
        <v>190</v>
      </c>
      <c r="D260" s="29" t="s">
        <v>188</v>
      </c>
      <c r="E260" s="19" t="s">
        <v>216</v>
      </c>
      <c r="F260" s="30"/>
      <c r="G260" s="76"/>
      <c r="H260" s="35">
        <f t="shared" si="43"/>
        <v>10329.4</v>
      </c>
      <c r="I260" s="35">
        <f t="shared" si="43"/>
        <v>0</v>
      </c>
      <c r="J260" s="246">
        <f t="shared" si="43"/>
        <v>10284.7</v>
      </c>
      <c r="K260" s="246"/>
      <c r="L260" s="321"/>
      <c r="M260" s="246"/>
    </row>
    <row r="261" spans="1:13" ht="21" customHeight="1">
      <c r="A261" s="26" t="s">
        <v>251</v>
      </c>
      <c r="B261" s="42" t="s">
        <v>61</v>
      </c>
      <c r="C261" s="17" t="s">
        <v>190</v>
      </c>
      <c r="D261" s="29" t="s">
        <v>188</v>
      </c>
      <c r="E261" s="19" t="s">
        <v>216</v>
      </c>
      <c r="F261" s="30"/>
      <c r="G261" s="76" t="s">
        <v>266</v>
      </c>
      <c r="H261" s="35">
        <f>3250.5+11000-2000+878.5-3000+200.4</f>
        <v>10329.4</v>
      </c>
      <c r="I261" s="310"/>
      <c r="J261" s="246">
        <v>10284.7</v>
      </c>
      <c r="K261" s="246"/>
      <c r="L261" s="321"/>
      <c r="M261" s="246"/>
    </row>
    <row r="262" spans="1:13" ht="21" customHeight="1">
      <c r="A262" s="106" t="s">
        <v>243</v>
      </c>
      <c r="B262" s="94" t="s">
        <v>61</v>
      </c>
      <c r="C262" s="91" t="s">
        <v>191</v>
      </c>
      <c r="D262" s="103" t="s">
        <v>123</v>
      </c>
      <c r="E262" s="91"/>
      <c r="F262" s="103"/>
      <c r="G262" s="111"/>
      <c r="H262" s="35">
        <f>H264</f>
        <v>173.4</v>
      </c>
      <c r="I262" s="37">
        <f>I264</f>
        <v>0</v>
      </c>
      <c r="J262" s="246">
        <f>J263</f>
        <v>125.8</v>
      </c>
      <c r="K262" s="246"/>
      <c r="L262" s="307">
        <f>J262/H262*100</f>
        <v>72.54901960784314</v>
      </c>
      <c r="M262" s="306"/>
    </row>
    <row r="263" spans="1:13" ht="16.5" customHeight="1">
      <c r="A263" s="26" t="s">
        <v>34</v>
      </c>
      <c r="B263" s="40" t="s">
        <v>61</v>
      </c>
      <c r="C263" s="21" t="s">
        <v>191</v>
      </c>
      <c r="D263" s="28" t="s">
        <v>182</v>
      </c>
      <c r="E263" s="21"/>
      <c r="F263" s="28"/>
      <c r="G263" s="85"/>
      <c r="H263" s="35">
        <f>H264</f>
        <v>173.4</v>
      </c>
      <c r="I263" s="317"/>
      <c r="J263" s="246">
        <f>J264</f>
        <v>125.8</v>
      </c>
      <c r="K263" s="246"/>
      <c r="L263" s="321"/>
      <c r="M263" s="246"/>
    </row>
    <row r="264" spans="1:13" ht="13.5" customHeight="1">
      <c r="A264" s="24" t="s">
        <v>98</v>
      </c>
      <c r="B264" s="41" t="s">
        <v>61</v>
      </c>
      <c r="C264" s="21" t="s">
        <v>191</v>
      </c>
      <c r="D264" s="29" t="s">
        <v>182</v>
      </c>
      <c r="E264" s="17" t="s">
        <v>39</v>
      </c>
      <c r="F264" s="29"/>
      <c r="G264" s="101"/>
      <c r="H264" s="37">
        <f>H265</f>
        <v>173.4</v>
      </c>
      <c r="I264" s="37">
        <f>I265</f>
        <v>0</v>
      </c>
      <c r="J264" s="246">
        <f>J265</f>
        <v>125.8</v>
      </c>
      <c r="K264" s="246"/>
      <c r="L264" s="321"/>
      <c r="M264" s="246"/>
    </row>
    <row r="265" spans="1:13" ht="14.25" customHeight="1">
      <c r="A265" s="24" t="s">
        <v>99</v>
      </c>
      <c r="B265" s="41" t="s">
        <v>61</v>
      </c>
      <c r="C265" s="21" t="s">
        <v>191</v>
      </c>
      <c r="D265" s="29" t="s">
        <v>182</v>
      </c>
      <c r="E265" s="17" t="s">
        <v>222</v>
      </c>
      <c r="F265" s="29"/>
      <c r="G265" s="101"/>
      <c r="H265" s="37">
        <f>H266</f>
        <v>173.4</v>
      </c>
      <c r="I265" s="37">
        <f>I266</f>
        <v>0</v>
      </c>
      <c r="J265" s="246">
        <f>J266</f>
        <v>125.8</v>
      </c>
      <c r="K265" s="246"/>
      <c r="L265" s="321"/>
      <c r="M265" s="246"/>
    </row>
    <row r="266" spans="1:13" ht="15" customHeight="1">
      <c r="A266" s="24" t="s">
        <v>168</v>
      </c>
      <c r="B266" s="41" t="s">
        <v>61</v>
      </c>
      <c r="C266" s="21" t="s">
        <v>191</v>
      </c>
      <c r="D266" s="29" t="s">
        <v>182</v>
      </c>
      <c r="E266" s="17" t="s">
        <v>222</v>
      </c>
      <c r="F266" s="29" t="s">
        <v>84</v>
      </c>
      <c r="G266" s="101" t="s">
        <v>84</v>
      </c>
      <c r="H266" s="37">
        <v>173.4</v>
      </c>
      <c r="I266" s="37"/>
      <c r="J266" s="246">
        <v>125.8</v>
      </c>
      <c r="K266" s="246"/>
      <c r="L266" s="321"/>
      <c r="M266" s="246"/>
    </row>
    <row r="267" spans="1:13" ht="15.75">
      <c r="A267" s="106" t="s">
        <v>5</v>
      </c>
      <c r="B267" s="94" t="s">
        <v>61</v>
      </c>
      <c r="C267" s="91" t="s">
        <v>189</v>
      </c>
      <c r="D267" s="103" t="s">
        <v>123</v>
      </c>
      <c r="E267" s="91"/>
      <c r="F267" s="103"/>
      <c r="G267" s="111"/>
      <c r="H267" s="75">
        <f>H272+H268</f>
        <v>9888.3</v>
      </c>
      <c r="I267" s="75">
        <f>I272</f>
        <v>9329.5</v>
      </c>
      <c r="J267" s="75">
        <f>J272+J268</f>
        <v>5150</v>
      </c>
      <c r="K267" s="75">
        <f>K272</f>
        <v>4591.2</v>
      </c>
      <c r="L267" s="307">
        <f>J267/H267*100</f>
        <v>52.08175318305472</v>
      </c>
      <c r="M267" s="306">
        <f>K267/I267*100</f>
        <v>49.21164049520338</v>
      </c>
    </row>
    <row r="268" spans="1:13" ht="15.75">
      <c r="A268" s="24" t="s">
        <v>94</v>
      </c>
      <c r="B268" s="103" t="s">
        <v>61</v>
      </c>
      <c r="C268" s="21" t="s">
        <v>189</v>
      </c>
      <c r="D268" s="29" t="s">
        <v>187</v>
      </c>
      <c r="E268" s="17"/>
      <c r="F268" s="29"/>
      <c r="G268" s="76"/>
      <c r="H268" s="75">
        <f>H269</f>
        <v>10</v>
      </c>
      <c r="I268" s="75"/>
      <c r="J268" s="63">
        <f>J269</f>
        <v>10</v>
      </c>
      <c r="K268" s="246"/>
      <c r="L268" s="321"/>
      <c r="M268" s="246"/>
    </row>
    <row r="269" spans="1:13" ht="15.75">
      <c r="A269" s="24" t="s">
        <v>233</v>
      </c>
      <c r="B269" s="41" t="s">
        <v>61</v>
      </c>
      <c r="C269" s="21" t="s">
        <v>189</v>
      </c>
      <c r="D269" s="29" t="s">
        <v>187</v>
      </c>
      <c r="E269" s="17" t="s">
        <v>435</v>
      </c>
      <c r="F269" s="29" t="s">
        <v>89</v>
      </c>
      <c r="G269" s="52"/>
      <c r="H269" s="63">
        <f>H270</f>
        <v>10</v>
      </c>
      <c r="I269" s="75"/>
      <c r="J269" s="63">
        <f>J270</f>
        <v>10</v>
      </c>
      <c r="K269" s="246"/>
      <c r="L269" s="321"/>
      <c r="M269" s="246"/>
    </row>
    <row r="270" spans="1:13" ht="26.25">
      <c r="A270" s="97" t="s">
        <v>234</v>
      </c>
      <c r="B270" s="41" t="s">
        <v>61</v>
      </c>
      <c r="C270" s="21" t="s">
        <v>189</v>
      </c>
      <c r="D270" s="29" t="s">
        <v>187</v>
      </c>
      <c r="E270" s="17" t="s">
        <v>435</v>
      </c>
      <c r="F270" s="7"/>
      <c r="G270" s="52"/>
      <c r="H270" s="63">
        <f>H271</f>
        <v>10</v>
      </c>
      <c r="I270" s="75"/>
      <c r="J270" s="63">
        <f>J271</f>
        <v>10</v>
      </c>
      <c r="K270" s="246"/>
      <c r="L270" s="321"/>
      <c r="M270" s="246"/>
    </row>
    <row r="271" spans="1:13" ht="15.75">
      <c r="A271" s="45" t="s">
        <v>252</v>
      </c>
      <c r="B271" s="41" t="s">
        <v>61</v>
      </c>
      <c r="C271" s="21" t="s">
        <v>189</v>
      </c>
      <c r="D271" s="29" t="s">
        <v>187</v>
      </c>
      <c r="E271" s="17" t="s">
        <v>435</v>
      </c>
      <c r="F271" s="7"/>
      <c r="G271" s="11" t="s">
        <v>51</v>
      </c>
      <c r="H271" s="63">
        <v>10</v>
      </c>
      <c r="I271" s="75"/>
      <c r="J271" s="63">
        <v>10</v>
      </c>
      <c r="K271" s="246"/>
      <c r="L271" s="321"/>
      <c r="M271" s="246"/>
    </row>
    <row r="272" spans="1:13" ht="15.75">
      <c r="A272" s="158" t="s">
        <v>310</v>
      </c>
      <c r="B272" s="149" t="s">
        <v>61</v>
      </c>
      <c r="C272" s="149" t="s">
        <v>189</v>
      </c>
      <c r="D272" s="11" t="s">
        <v>184</v>
      </c>
      <c r="E272" s="17"/>
      <c r="F272" s="7"/>
      <c r="G272" s="47"/>
      <c r="H272" s="37">
        <f aca="true" t="shared" si="44" ref="H272:I274">H273</f>
        <v>9878.3</v>
      </c>
      <c r="I272" s="37">
        <f t="shared" si="44"/>
        <v>9329.5</v>
      </c>
      <c r="J272" s="63">
        <f aca="true" t="shared" si="45" ref="J272:K274">J273</f>
        <v>5140</v>
      </c>
      <c r="K272" s="246">
        <f t="shared" si="45"/>
        <v>4591.2</v>
      </c>
      <c r="L272" s="321"/>
      <c r="M272" s="246"/>
    </row>
    <row r="273" spans="1:13" ht="15.75">
      <c r="A273" s="26" t="s">
        <v>122</v>
      </c>
      <c r="B273" s="149" t="s">
        <v>61</v>
      </c>
      <c r="C273" s="149" t="s">
        <v>189</v>
      </c>
      <c r="D273" s="11" t="s">
        <v>184</v>
      </c>
      <c r="E273" s="17" t="s">
        <v>93</v>
      </c>
      <c r="F273" s="7"/>
      <c r="G273" s="47"/>
      <c r="H273" s="37">
        <f t="shared" si="44"/>
        <v>9878.3</v>
      </c>
      <c r="I273" s="37">
        <f t="shared" si="44"/>
        <v>9329.5</v>
      </c>
      <c r="J273" s="63">
        <f t="shared" si="45"/>
        <v>5140</v>
      </c>
      <c r="K273" s="246">
        <f t="shared" si="45"/>
        <v>4591.2</v>
      </c>
      <c r="L273" s="321"/>
      <c r="M273" s="246"/>
    </row>
    <row r="274" spans="1:13" ht="51.75">
      <c r="A274" s="34" t="s">
        <v>270</v>
      </c>
      <c r="B274" s="149" t="s">
        <v>61</v>
      </c>
      <c r="C274" s="149" t="s">
        <v>189</v>
      </c>
      <c r="D274" s="11" t="s">
        <v>184</v>
      </c>
      <c r="E274" s="17" t="s">
        <v>269</v>
      </c>
      <c r="F274" s="7"/>
      <c r="G274" s="47"/>
      <c r="H274" s="37">
        <f t="shared" si="44"/>
        <v>9878.3</v>
      </c>
      <c r="I274" s="37">
        <f t="shared" si="44"/>
        <v>9329.5</v>
      </c>
      <c r="J274" s="63">
        <f t="shared" si="45"/>
        <v>5140</v>
      </c>
      <c r="K274" s="246">
        <f t="shared" si="45"/>
        <v>4591.2</v>
      </c>
      <c r="L274" s="321"/>
      <c r="M274" s="246"/>
    </row>
    <row r="275" spans="1:13" s="108" customFormat="1" ht="16.5" thickBot="1">
      <c r="A275" s="159" t="s">
        <v>164</v>
      </c>
      <c r="B275" s="160" t="s">
        <v>61</v>
      </c>
      <c r="C275" s="160" t="s">
        <v>189</v>
      </c>
      <c r="D275" s="235" t="s">
        <v>184</v>
      </c>
      <c r="E275" s="236" t="s">
        <v>269</v>
      </c>
      <c r="F275" s="5"/>
      <c r="G275" s="48" t="s">
        <v>51</v>
      </c>
      <c r="H275" s="35">
        <v>9878.3</v>
      </c>
      <c r="I275" s="35">
        <v>9329.5</v>
      </c>
      <c r="J275" s="305">
        <v>5140</v>
      </c>
      <c r="K275" s="319">
        <v>4591.2</v>
      </c>
      <c r="L275" s="322"/>
      <c r="M275" s="257"/>
    </row>
    <row r="276" spans="1:13" s="108" customFormat="1" ht="38.25" thickBot="1">
      <c r="A276" s="351" t="s">
        <v>459</v>
      </c>
      <c r="B276" s="27" t="s">
        <v>66</v>
      </c>
      <c r="C276" s="20"/>
      <c r="D276" s="12"/>
      <c r="E276" s="20"/>
      <c r="F276" s="12"/>
      <c r="G276" s="50"/>
      <c r="H276" s="38">
        <f>H277+H282</f>
        <v>106829.7</v>
      </c>
      <c r="I276" s="38">
        <f>I277+I282</f>
        <v>252</v>
      </c>
      <c r="J276" s="38">
        <f>J277+J282</f>
        <v>101254.2</v>
      </c>
      <c r="K276" s="38">
        <f>K277+K282</f>
        <v>250.7</v>
      </c>
      <c r="L276" s="243">
        <f>J276/H276*100</f>
        <v>94.78094574823294</v>
      </c>
      <c r="M276" s="154">
        <f>K276/I276*100</f>
        <v>99.48412698412697</v>
      </c>
    </row>
    <row r="277" spans="1:13" s="108" customFormat="1" ht="15.75">
      <c r="A277" s="106" t="s">
        <v>6</v>
      </c>
      <c r="B277" s="94" t="s">
        <v>66</v>
      </c>
      <c r="C277" s="91" t="s">
        <v>190</v>
      </c>
      <c r="D277" s="103" t="s">
        <v>123</v>
      </c>
      <c r="E277" s="91"/>
      <c r="F277" s="103"/>
      <c r="G277" s="111"/>
      <c r="H277" s="75">
        <f aca="true" t="shared" si="46" ref="H277:I279">H278</f>
        <v>27146.8</v>
      </c>
      <c r="I277" s="79">
        <f t="shared" si="46"/>
        <v>0</v>
      </c>
      <c r="J277" s="309">
        <f>J278</f>
        <v>26664.5</v>
      </c>
      <c r="K277" s="258"/>
      <c r="L277" s="307">
        <f>J277/H277*100</f>
        <v>98.22336334300911</v>
      </c>
      <c r="M277" s="306"/>
    </row>
    <row r="278" spans="1:13" s="108" customFormat="1" ht="15.75">
      <c r="A278" s="26" t="s">
        <v>9</v>
      </c>
      <c r="B278" s="40" t="s">
        <v>66</v>
      </c>
      <c r="C278" s="17" t="s">
        <v>190</v>
      </c>
      <c r="D278" s="28" t="s">
        <v>183</v>
      </c>
      <c r="E278" s="21"/>
      <c r="F278" s="28"/>
      <c r="G278" s="85"/>
      <c r="H278" s="36">
        <f t="shared" si="46"/>
        <v>27146.8</v>
      </c>
      <c r="I278" s="36">
        <f t="shared" si="46"/>
        <v>0</v>
      </c>
      <c r="J278" s="308">
        <f>J279</f>
        <v>26664.5</v>
      </c>
      <c r="K278" s="259"/>
      <c r="L278" s="323"/>
      <c r="M278" s="259"/>
    </row>
    <row r="279" spans="1:13" s="108" customFormat="1" ht="15.75">
      <c r="A279" s="32" t="s">
        <v>31</v>
      </c>
      <c r="B279" s="15" t="s">
        <v>66</v>
      </c>
      <c r="C279" s="17" t="s">
        <v>190</v>
      </c>
      <c r="D279" s="28" t="s">
        <v>183</v>
      </c>
      <c r="E279" s="14" t="s">
        <v>32</v>
      </c>
      <c r="F279" s="9"/>
      <c r="G279" s="76"/>
      <c r="H279" s="37">
        <f t="shared" si="46"/>
        <v>27146.8</v>
      </c>
      <c r="I279" s="37">
        <f t="shared" si="46"/>
        <v>0</v>
      </c>
      <c r="J279" s="308">
        <f>J280</f>
        <v>26664.5</v>
      </c>
      <c r="K279" s="259"/>
      <c r="L279" s="323"/>
      <c r="M279" s="259"/>
    </row>
    <row r="280" spans="1:13" ht="15.75">
      <c r="A280" s="25" t="s">
        <v>27</v>
      </c>
      <c r="B280" s="42" t="s">
        <v>66</v>
      </c>
      <c r="C280" s="17" t="s">
        <v>190</v>
      </c>
      <c r="D280" s="28" t="s">
        <v>183</v>
      </c>
      <c r="E280" s="19" t="s">
        <v>208</v>
      </c>
      <c r="F280" s="9"/>
      <c r="G280" s="78"/>
      <c r="H280" s="35">
        <f>H281</f>
        <v>27146.8</v>
      </c>
      <c r="I280" s="35">
        <f>I281</f>
        <v>0</v>
      </c>
      <c r="J280" s="308">
        <f>J281</f>
        <v>26664.5</v>
      </c>
      <c r="K280" s="246"/>
      <c r="L280" s="321"/>
      <c r="M280" s="246"/>
    </row>
    <row r="281" spans="1:13" ht="15.75">
      <c r="A281" s="8" t="s">
        <v>168</v>
      </c>
      <c r="B281" s="42" t="s">
        <v>66</v>
      </c>
      <c r="C281" s="17" t="s">
        <v>190</v>
      </c>
      <c r="D281" s="28" t="s">
        <v>183</v>
      </c>
      <c r="E281" s="19" t="s">
        <v>208</v>
      </c>
      <c r="F281" s="9"/>
      <c r="G281" s="76" t="s">
        <v>84</v>
      </c>
      <c r="H281" s="35">
        <f>24500.5+1176.9-0.9+1211.2-340.9+600</f>
        <v>27146.8</v>
      </c>
      <c r="I281" s="310"/>
      <c r="J281" s="246">
        <v>26664.5</v>
      </c>
      <c r="K281" s="246"/>
      <c r="L281" s="180"/>
      <c r="M281" s="248"/>
    </row>
    <row r="282" spans="1:13" ht="15.75">
      <c r="A282" s="106" t="s">
        <v>243</v>
      </c>
      <c r="B282" s="94" t="s">
        <v>66</v>
      </c>
      <c r="C282" s="91" t="s">
        <v>191</v>
      </c>
      <c r="D282" s="103" t="s">
        <v>123</v>
      </c>
      <c r="E282" s="91"/>
      <c r="F282" s="103"/>
      <c r="G282" s="111"/>
      <c r="H282" s="75">
        <f>H283+H302</f>
        <v>79682.9</v>
      </c>
      <c r="I282" s="75">
        <f>I283+I302</f>
        <v>252</v>
      </c>
      <c r="J282" s="75">
        <f>J283+J302</f>
        <v>74589.7</v>
      </c>
      <c r="K282" s="75">
        <f>K283+K302</f>
        <v>250.7</v>
      </c>
      <c r="L282" s="307">
        <f>J282/H282*100</f>
        <v>93.60816436148785</v>
      </c>
      <c r="M282" s="306">
        <f>K282/I282*100</f>
        <v>99.48412698412697</v>
      </c>
    </row>
    <row r="283" spans="1:13" ht="15.75">
      <c r="A283" s="26" t="s">
        <v>34</v>
      </c>
      <c r="B283" s="40" t="s">
        <v>66</v>
      </c>
      <c r="C283" s="21" t="s">
        <v>191</v>
      </c>
      <c r="D283" s="28" t="s">
        <v>182</v>
      </c>
      <c r="E283" s="21"/>
      <c r="F283" s="28"/>
      <c r="G283" s="85"/>
      <c r="H283" s="36">
        <f>H284+H287+H290+H293+H299+H296</f>
        <v>72814.4</v>
      </c>
      <c r="I283" s="36">
        <f>I284+I287+I290+I293+I299+I296</f>
        <v>252</v>
      </c>
      <c r="J283" s="36">
        <f>J284+J287+J290+J293+J299+J296</f>
        <v>68020.09999999999</v>
      </c>
      <c r="K283" s="36">
        <f>K284+K287+K290+K293+K299+K296</f>
        <v>250.7</v>
      </c>
      <c r="L283" s="62"/>
      <c r="M283" s="250"/>
    </row>
    <row r="284" spans="1:13" ht="26.25">
      <c r="A284" s="45" t="s">
        <v>117</v>
      </c>
      <c r="B284" s="41" t="s">
        <v>66</v>
      </c>
      <c r="C284" s="21" t="s">
        <v>191</v>
      </c>
      <c r="D284" s="28" t="s">
        <v>182</v>
      </c>
      <c r="E284" s="17" t="s">
        <v>35</v>
      </c>
      <c r="F284" s="29"/>
      <c r="G284" s="76"/>
      <c r="H284" s="37">
        <f aca="true" t="shared" si="47" ref="H284:J285">H285</f>
        <v>46765.3</v>
      </c>
      <c r="I284" s="37">
        <f t="shared" si="47"/>
        <v>0</v>
      </c>
      <c r="J284" s="37">
        <f t="shared" si="47"/>
        <v>44641.7</v>
      </c>
      <c r="K284" s="246"/>
      <c r="L284" s="321"/>
      <c r="M284" s="246"/>
    </row>
    <row r="285" spans="1:13" ht="15.75">
      <c r="A285" s="25" t="s">
        <v>27</v>
      </c>
      <c r="B285" s="41" t="s">
        <v>66</v>
      </c>
      <c r="C285" s="21" t="s">
        <v>191</v>
      </c>
      <c r="D285" s="28" t="s">
        <v>182</v>
      </c>
      <c r="E285" s="17" t="s">
        <v>218</v>
      </c>
      <c r="F285" s="29"/>
      <c r="G285" s="76"/>
      <c r="H285" s="37">
        <f t="shared" si="47"/>
        <v>46765.3</v>
      </c>
      <c r="I285" s="37">
        <f t="shared" si="47"/>
        <v>0</v>
      </c>
      <c r="J285" s="246">
        <f t="shared" si="47"/>
        <v>44641.7</v>
      </c>
      <c r="K285" s="246"/>
      <c r="L285" s="321"/>
      <c r="M285" s="246"/>
    </row>
    <row r="286" spans="1:13" ht="15.75">
      <c r="A286" s="8" t="s">
        <v>168</v>
      </c>
      <c r="B286" s="41" t="s">
        <v>66</v>
      </c>
      <c r="C286" s="21" t="s">
        <v>191</v>
      </c>
      <c r="D286" s="28" t="s">
        <v>182</v>
      </c>
      <c r="E286" s="17" t="s">
        <v>218</v>
      </c>
      <c r="F286" s="29"/>
      <c r="G286" s="76" t="s">
        <v>84</v>
      </c>
      <c r="H286" s="37">
        <f>49965.3-3200</f>
        <v>46765.3</v>
      </c>
      <c r="I286" s="37"/>
      <c r="J286" s="246">
        <v>44641.7</v>
      </c>
      <c r="K286" s="246"/>
      <c r="L286" s="321"/>
      <c r="M286" s="246"/>
    </row>
    <row r="287" spans="1:13" ht="15.75">
      <c r="A287" s="24" t="s">
        <v>13</v>
      </c>
      <c r="B287" s="41" t="s">
        <v>66</v>
      </c>
      <c r="C287" s="21" t="s">
        <v>191</v>
      </c>
      <c r="D287" s="28" t="s">
        <v>182</v>
      </c>
      <c r="E287" s="17" t="s">
        <v>36</v>
      </c>
      <c r="F287" s="29"/>
      <c r="G287" s="76"/>
      <c r="H287" s="37">
        <f aca="true" t="shared" si="48" ref="H287:J288">H288</f>
        <v>3265.7000000000003</v>
      </c>
      <c r="I287" s="37">
        <f t="shared" si="48"/>
        <v>0</v>
      </c>
      <c r="J287" s="246">
        <f t="shared" si="48"/>
        <v>3169.9</v>
      </c>
      <c r="K287" s="246"/>
      <c r="L287" s="321"/>
      <c r="M287" s="246"/>
    </row>
    <row r="288" spans="1:13" ht="15.75">
      <c r="A288" s="25" t="s">
        <v>27</v>
      </c>
      <c r="B288" s="41" t="s">
        <v>66</v>
      </c>
      <c r="C288" s="21" t="s">
        <v>191</v>
      </c>
      <c r="D288" s="28" t="s">
        <v>182</v>
      </c>
      <c r="E288" s="17" t="s">
        <v>219</v>
      </c>
      <c r="F288" s="29"/>
      <c r="G288" s="76"/>
      <c r="H288" s="37">
        <f t="shared" si="48"/>
        <v>3265.7000000000003</v>
      </c>
      <c r="I288" s="37">
        <f t="shared" si="48"/>
        <v>0</v>
      </c>
      <c r="J288" s="246">
        <f t="shared" si="48"/>
        <v>3169.9</v>
      </c>
      <c r="K288" s="246"/>
      <c r="L288" s="321"/>
      <c r="M288" s="246"/>
    </row>
    <row r="289" spans="1:13" ht="15.75">
      <c r="A289" s="8" t="s">
        <v>168</v>
      </c>
      <c r="B289" s="41" t="s">
        <v>66</v>
      </c>
      <c r="C289" s="21" t="s">
        <v>191</v>
      </c>
      <c r="D289" s="28" t="s">
        <v>182</v>
      </c>
      <c r="E289" s="17" t="s">
        <v>219</v>
      </c>
      <c r="F289" s="29"/>
      <c r="G289" s="76" t="s">
        <v>84</v>
      </c>
      <c r="H289" s="37">
        <f>3780.8+13.4-8.7-471.9-47.9</f>
        <v>3265.7000000000003</v>
      </c>
      <c r="I289" s="157"/>
      <c r="J289" s="246">
        <v>3169.9</v>
      </c>
      <c r="K289" s="246"/>
      <c r="L289" s="321"/>
      <c r="M289" s="246"/>
    </row>
    <row r="290" spans="1:13" ht="15.75">
      <c r="A290" s="24" t="s">
        <v>14</v>
      </c>
      <c r="B290" s="41" t="s">
        <v>66</v>
      </c>
      <c r="C290" s="21" t="s">
        <v>191</v>
      </c>
      <c r="D290" s="28" t="s">
        <v>182</v>
      </c>
      <c r="E290" s="17" t="s">
        <v>37</v>
      </c>
      <c r="F290" s="29"/>
      <c r="G290" s="54"/>
      <c r="H290" s="37">
        <f aca="true" t="shared" si="49" ref="H290:J291">H291</f>
        <v>11513.2</v>
      </c>
      <c r="I290" s="37">
        <f t="shared" si="49"/>
        <v>0</v>
      </c>
      <c r="J290" s="246">
        <f t="shared" si="49"/>
        <v>9834.7</v>
      </c>
      <c r="K290" s="246"/>
      <c r="L290" s="321"/>
      <c r="M290" s="246"/>
    </row>
    <row r="291" spans="1:13" ht="15.75">
      <c r="A291" s="25" t="s">
        <v>27</v>
      </c>
      <c r="B291" s="41" t="s">
        <v>66</v>
      </c>
      <c r="C291" s="21" t="s">
        <v>191</v>
      </c>
      <c r="D291" s="28" t="s">
        <v>182</v>
      </c>
      <c r="E291" s="17" t="s">
        <v>220</v>
      </c>
      <c r="F291" s="29"/>
      <c r="G291" s="54"/>
      <c r="H291" s="37">
        <f t="shared" si="49"/>
        <v>11513.2</v>
      </c>
      <c r="I291" s="37">
        <f t="shared" si="49"/>
        <v>0</v>
      </c>
      <c r="J291" s="246">
        <f t="shared" si="49"/>
        <v>9834.7</v>
      </c>
      <c r="K291" s="246"/>
      <c r="L291" s="321"/>
      <c r="M291" s="246"/>
    </row>
    <row r="292" spans="1:13" ht="15.75">
      <c r="A292" s="8" t="s">
        <v>168</v>
      </c>
      <c r="B292" s="41" t="s">
        <v>66</v>
      </c>
      <c r="C292" s="21" t="s">
        <v>191</v>
      </c>
      <c r="D292" s="28" t="s">
        <v>182</v>
      </c>
      <c r="E292" s="17" t="s">
        <v>220</v>
      </c>
      <c r="F292" s="29"/>
      <c r="G292" s="76" t="s">
        <v>84</v>
      </c>
      <c r="H292" s="37">
        <v>11513.2</v>
      </c>
      <c r="I292" s="37">
        <f>252-252</f>
        <v>0</v>
      </c>
      <c r="J292" s="246">
        <v>9834.7</v>
      </c>
      <c r="K292" s="246"/>
      <c r="L292" s="321"/>
      <c r="M292" s="246"/>
    </row>
    <row r="293" spans="1:13" ht="26.25">
      <c r="A293" s="45" t="s">
        <v>110</v>
      </c>
      <c r="B293" s="41" t="s">
        <v>66</v>
      </c>
      <c r="C293" s="21" t="s">
        <v>191</v>
      </c>
      <c r="D293" s="28" t="s">
        <v>182</v>
      </c>
      <c r="E293" s="17" t="s">
        <v>38</v>
      </c>
      <c r="F293" s="29"/>
      <c r="G293" s="76"/>
      <c r="H293" s="37">
        <f aca="true" t="shared" si="50" ref="H293:J294">H294</f>
        <v>9946.8</v>
      </c>
      <c r="I293" s="37">
        <f t="shared" si="50"/>
        <v>0</v>
      </c>
      <c r="J293" s="246">
        <f t="shared" si="50"/>
        <v>9061.7</v>
      </c>
      <c r="K293" s="246"/>
      <c r="L293" s="321"/>
      <c r="M293" s="246"/>
    </row>
    <row r="294" spans="1:13" ht="15.75">
      <c r="A294" s="25" t="s">
        <v>27</v>
      </c>
      <c r="B294" s="41" t="s">
        <v>66</v>
      </c>
      <c r="C294" s="21" t="s">
        <v>191</v>
      </c>
      <c r="D294" s="28" t="s">
        <v>182</v>
      </c>
      <c r="E294" s="17" t="s">
        <v>221</v>
      </c>
      <c r="F294" s="29"/>
      <c r="G294" s="76"/>
      <c r="H294" s="37">
        <f t="shared" si="50"/>
        <v>9946.8</v>
      </c>
      <c r="I294" s="37">
        <f t="shared" si="50"/>
        <v>0</v>
      </c>
      <c r="J294" s="246">
        <f t="shared" si="50"/>
        <v>9061.7</v>
      </c>
      <c r="K294" s="246"/>
      <c r="L294" s="321"/>
      <c r="M294" s="246"/>
    </row>
    <row r="295" spans="1:13" ht="15.75">
      <c r="A295" s="8" t="s">
        <v>168</v>
      </c>
      <c r="B295" s="41" t="s">
        <v>66</v>
      </c>
      <c r="C295" s="21" t="s">
        <v>191</v>
      </c>
      <c r="D295" s="28" t="s">
        <v>182</v>
      </c>
      <c r="E295" s="17" t="s">
        <v>221</v>
      </c>
      <c r="F295" s="29"/>
      <c r="G295" s="76" t="s">
        <v>84</v>
      </c>
      <c r="H295" s="37">
        <v>9946.8</v>
      </c>
      <c r="I295" s="157"/>
      <c r="J295" s="246">
        <v>9061.7</v>
      </c>
      <c r="K295" s="246"/>
      <c r="L295" s="321"/>
      <c r="M295" s="246"/>
    </row>
    <row r="296" spans="1:13" ht="26.25">
      <c r="A296" s="107" t="s">
        <v>419</v>
      </c>
      <c r="B296" s="41" t="s">
        <v>66</v>
      </c>
      <c r="C296" s="21" t="s">
        <v>191</v>
      </c>
      <c r="D296" s="28" t="s">
        <v>182</v>
      </c>
      <c r="E296" s="17" t="s">
        <v>39</v>
      </c>
      <c r="F296" s="29"/>
      <c r="G296" s="76"/>
      <c r="H296" s="37">
        <f aca="true" t="shared" si="51" ref="H296:K297">H297</f>
        <v>252</v>
      </c>
      <c r="I296" s="37">
        <f t="shared" si="51"/>
        <v>252</v>
      </c>
      <c r="J296" s="246">
        <f t="shared" si="51"/>
        <v>250.7</v>
      </c>
      <c r="K296" s="246">
        <f t="shared" si="51"/>
        <v>250.7</v>
      </c>
      <c r="L296" s="321"/>
      <c r="M296" s="246"/>
    </row>
    <row r="297" spans="1:13" ht="26.25">
      <c r="A297" s="107" t="s">
        <v>420</v>
      </c>
      <c r="B297" s="41" t="s">
        <v>66</v>
      </c>
      <c r="C297" s="21" t="s">
        <v>191</v>
      </c>
      <c r="D297" s="28" t="s">
        <v>182</v>
      </c>
      <c r="E297" s="17" t="s">
        <v>421</v>
      </c>
      <c r="F297" s="29"/>
      <c r="G297" s="76"/>
      <c r="H297" s="37">
        <f t="shared" si="51"/>
        <v>252</v>
      </c>
      <c r="I297" s="37">
        <f t="shared" si="51"/>
        <v>252</v>
      </c>
      <c r="J297" s="246">
        <f t="shared" si="51"/>
        <v>250.7</v>
      </c>
      <c r="K297" s="246">
        <f t="shared" si="51"/>
        <v>250.7</v>
      </c>
      <c r="L297" s="321"/>
      <c r="M297" s="246"/>
    </row>
    <row r="298" spans="1:13" ht="15.75">
      <c r="A298" s="8" t="s">
        <v>168</v>
      </c>
      <c r="B298" s="41" t="s">
        <v>66</v>
      </c>
      <c r="C298" s="21" t="s">
        <v>191</v>
      </c>
      <c r="D298" s="28" t="s">
        <v>182</v>
      </c>
      <c r="E298" s="17" t="s">
        <v>421</v>
      </c>
      <c r="F298" s="29"/>
      <c r="G298" s="76" t="s">
        <v>84</v>
      </c>
      <c r="H298" s="37">
        <v>252</v>
      </c>
      <c r="I298" s="37">
        <v>252</v>
      </c>
      <c r="J298" s="246">
        <v>250.7</v>
      </c>
      <c r="K298" s="246">
        <v>250.7</v>
      </c>
      <c r="L298" s="321"/>
      <c r="M298" s="246"/>
    </row>
    <row r="299" spans="1:13" ht="15.75">
      <c r="A299" s="24" t="s">
        <v>127</v>
      </c>
      <c r="B299" s="41" t="s">
        <v>66</v>
      </c>
      <c r="C299" s="21" t="s">
        <v>191</v>
      </c>
      <c r="D299" s="28" t="s">
        <v>182</v>
      </c>
      <c r="E299" s="17" t="s">
        <v>128</v>
      </c>
      <c r="F299" s="29"/>
      <c r="G299" s="76"/>
      <c r="H299" s="37">
        <f aca="true" t="shared" si="52" ref="H299:J300">H300</f>
        <v>1071.3999999999996</v>
      </c>
      <c r="I299" s="37">
        <f t="shared" si="52"/>
        <v>0</v>
      </c>
      <c r="J299" s="246">
        <f t="shared" si="52"/>
        <v>1061.4</v>
      </c>
      <c r="K299" s="246"/>
      <c r="L299" s="321"/>
      <c r="M299" s="246"/>
    </row>
    <row r="300" spans="1:13" ht="26.25">
      <c r="A300" s="97" t="s">
        <v>245</v>
      </c>
      <c r="B300" s="41" t="s">
        <v>66</v>
      </c>
      <c r="C300" s="21" t="s">
        <v>191</v>
      </c>
      <c r="D300" s="28" t="s">
        <v>182</v>
      </c>
      <c r="E300" s="17" t="s">
        <v>244</v>
      </c>
      <c r="F300" s="29"/>
      <c r="G300" s="76"/>
      <c r="H300" s="37">
        <f t="shared" si="52"/>
        <v>1071.3999999999996</v>
      </c>
      <c r="I300" s="37">
        <f t="shared" si="52"/>
        <v>0</v>
      </c>
      <c r="J300" s="246">
        <f t="shared" si="52"/>
        <v>1061.4</v>
      </c>
      <c r="K300" s="246"/>
      <c r="L300" s="321"/>
      <c r="M300" s="246"/>
    </row>
    <row r="301" spans="1:13" ht="15.75">
      <c r="A301" s="8" t="s">
        <v>168</v>
      </c>
      <c r="B301" s="41" t="s">
        <v>66</v>
      </c>
      <c r="C301" s="21" t="s">
        <v>191</v>
      </c>
      <c r="D301" s="28" t="s">
        <v>182</v>
      </c>
      <c r="E301" s="17" t="s">
        <v>244</v>
      </c>
      <c r="F301" s="29"/>
      <c r="G301" s="76" t="s">
        <v>84</v>
      </c>
      <c r="H301" s="37">
        <f>4671.4+1800-5400</f>
        <v>1071.3999999999996</v>
      </c>
      <c r="I301" s="157"/>
      <c r="J301" s="246">
        <v>1061.4</v>
      </c>
      <c r="K301" s="246"/>
      <c r="L301" s="321"/>
      <c r="M301" s="246"/>
    </row>
    <row r="302" spans="1:13" ht="26.25">
      <c r="A302" s="116" t="s">
        <v>111</v>
      </c>
      <c r="B302" s="94" t="s">
        <v>66</v>
      </c>
      <c r="C302" s="16" t="s">
        <v>191</v>
      </c>
      <c r="D302" s="103" t="s">
        <v>201</v>
      </c>
      <c r="E302" s="91"/>
      <c r="F302" s="103"/>
      <c r="G302" s="111"/>
      <c r="H302" s="75">
        <f>H306+H303</f>
        <v>6868.5</v>
      </c>
      <c r="I302" s="75">
        <f>I306+I303</f>
        <v>0</v>
      </c>
      <c r="J302" s="75">
        <f>J306+J303</f>
        <v>6569.6</v>
      </c>
      <c r="K302" s="246"/>
      <c r="L302" s="307">
        <f>J302/H302*100</f>
        <v>95.64824925384</v>
      </c>
      <c r="M302" s="306"/>
    </row>
    <row r="303" spans="1:13" ht="15.75">
      <c r="A303" s="45" t="s">
        <v>143</v>
      </c>
      <c r="B303" s="41" t="s">
        <v>66</v>
      </c>
      <c r="C303" s="21" t="s">
        <v>191</v>
      </c>
      <c r="D303" s="29" t="s">
        <v>201</v>
      </c>
      <c r="E303" s="17" t="s">
        <v>265</v>
      </c>
      <c r="F303" s="29"/>
      <c r="G303" s="76"/>
      <c r="H303" s="37">
        <f aca="true" t="shared" si="53" ref="H303:J304">H304</f>
        <v>3873.6</v>
      </c>
      <c r="I303" s="37">
        <f t="shared" si="53"/>
        <v>0</v>
      </c>
      <c r="J303" s="246">
        <f t="shared" si="53"/>
        <v>3646.8</v>
      </c>
      <c r="K303" s="246"/>
      <c r="L303" s="321"/>
      <c r="M303" s="246"/>
    </row>
    <row r="304" spans="1:13" ht="15.75">
      <c r="A304" s="26" t="s">
        <v>50</v>
      </c>
      <c r="B304" s="41" t="s">
        <v>66</v>
      </c>
      <c r="C304" s="21" t="s">
        <v>191</v>
      </c>
      <c r="D304" s="29" t="s">
        <v>201</v>
      </c>
      <c r="E304" s="17" t="s">
        <v>267</v>
      </c>
      <c r="F304" s="29"/>
      <c r="G304" s="76"/>
      <c r="H304" s="37">
        <f t="shared" si="53"/>
        <v>3873.6</v>
      </c>
      <c r="I304" s="37">
        <f t="shared" si="53"/>
        <v>0</v>
      </c>
      <c r="J304" s="246">
        <f t="shared" si="53"/>
        <v>3646.8</v>
      </c>
      <c r="K304" s="246"/>
      <c r="L304" s="321"/>
      <c r="M304" s="246"/>
    </row>
    <row r="305" spans="1:13" ht="15.75">
      <c r="A305" s="26" t="s">
        <v>142</v>
      </c>
      <c r="B305" s="41" t="s">
        <v>66</v>
      </c>
      <c r="C305" s="21" t="s">
        <v>191</v>
      </c>
      <c r="D305" s="29" t="s">
        <v>201</v>
      </c>
      <c r="E305" s="17" t="s">
        <v>267</v>
      </c>
      <c r="F305" s="29"/>
      <c r="G305" s="76" t="s">
        <v>266</v>
      </c>
      <c r="H305" s="37">
        <f>5141.7-399.4-276.5-358.8-846.4+613</f>
        <v>3873.6</v>
      </c>
      <c r="I305" s="157"/>
      <c r="J305" s="246">
        <v>3646.8</v>
      </c>
      <c r="K305" s="246"/>
      <c r="L305" s="321"/>
      <c r="M305" s="246"/>
    </row>
    <row r="306" spans="1:13" ht="39">
      <c r="A306" s="44" t="s">
        <v>109</v>
      </c>
      <c r="B306" s="41" t="s">
        <v>66</v>
      </c>
      <c r="C306" s="21" t="s">
        <v>191</v>
      </c>
      <c r="D306" s="29" t="s">
        <v>201</v>
      </c>
      <c r="E306" s="17" t="s">
        <v>40</v>
      </c>
      <c r="F306" s="29"/>
      <c r="G306" s="76"/>
      <c r="H306" s="37">
        <f aca="true" t="shared" si="54" ref="H306:J307">H307</f>
        <v>2994.9</v>
      </c>
      <c r="I306" s="37">
        <f t="shared" si="54"/>
        <v>0</v>
      </c>
      <c r="J306" s="37">
        <f t="shared" si="54"/>
        <v>2922.8</v>
      </c>
      <c r="K306" s="246"/>
      <c r="L306" s="321"/>
      <c r="M306" s="246"/>
    </row>
    <row r="307" spans="1:13" s="22" customFormat="1" ht="15.75">
      <c r="A307" s="24" t="s">
        <v>27</v>
      </c>
      <c r="B307" s="42"/>
      <c r="C307" s="21" t="s">
        <v>191</v>
      </c>
      <c r="D307" s="30" t="s">
        <v>201</v>
      </c>
      <c r="E307" s="19" t="s">
        <v>214</v>
      </c>
      <c r="F307" s="30"/>
      <c r="G307" s="177"/>
      <c r="H307" s="35">
        <f t="shared" si="54"/>
        <v>2994.9</v>
      </c>
      <c r="I307" s="35">
        <f t="shared" si="54"/>
        <v>0</v>
      </c>
      <c r="J307" s="246">
        <f t="shared" si="54"/>
        <v>2922.8</v>
      </c>
      <c r="K307" s="254"/>
      <c r="L307" s="106"/>
      <c r="M307" s="254"/>
    </row>
    <row r="308" spans="1:13" ht="16.5" thickBot="1">
      <c r="A308" s="25" t="s">
        <v>168</v>
      </c>
      <c r="B308" s="42" t="s">
        <v>66</v>
      </c>
      <c r="C308" s="21" t="s">
        <v>191</v>
      </c>
      <c r="D308" s="30" t="s">
        <v>201</v>
      </c>
      <c r="E308" s="19" t="s">
        <v>214</v>
      </c>
      <c r="F308" s="30"/>
      <c r="G308" s="192" t="s">
        <v>84</v>
      </c>
      <c r="H308" s="35">
        <v>2994.9</v>
      </c>
      <c r="I308" s="310"/>
      <c r="J308" s="264">
        <v>2922.8</v>
      </c>
      <c r="K308" s="248"/>
      <c r="L308" s="180"/>
      <c r="M308" s="248"/>
    </row>
    <row r="309" spans="1:13" ht="46.5" customHeight="1" thickBot="1">
      <c r="A309" s="72" t="s">
        <v>115</v>
      </c>
      <c r="B309" s="27" t="s">
        <v>67</v>
      </c>
      <c r="C309" s="20"/>
      <c r="D309" s="12"/>
      <c r="E309" s="20"/>
      <c r="F309" s="12"/>
      <c r="G309" s="50"/>
      <c r="H309" s="38">
        <f>H310+H343</f>
        <v>555760.2000000001</v>
      </c>
      <c r="I309" s="38">
        <f>I310+I343</f>
        <v>9680</v>
      </c>
      <c r="J309" s="38">
        <f>J310+J343</f>
        <v>521249.5</v>
      </c>
      <c r="K309" s="154">
        <f>K310+K343</f>
        <v>8299.800000000001</v>
      </c>
      <c r="L309" s="243">
        <f aca="true" t="shared" si="55" ref="L309:M311">J309/H309*100</f>
        <v>93.79036138248114</v>
      </c>
      <c r="M309" s="154">
        <f t="shared" si="55"/>
        <v>85.7417355371901</v>
      </c>
    </row>
    <row r="310" spans="1:13" ht="15.75">
      <c r="A310" s="102" t="s">
        <v>242</v>
      </c>
      <c r="B310" s="93" t="s">
        <v>67</v>
      </c>
      <c r="C310" s="16" t="s">
        <v>188</v>
      </c>
      <c r="D310" s="31" t="s">
        <v>123</v>
      </c>
      <c r="E310" s="16"/>
      <c r="F310" s="87"/>
      <c r="G310" s="82"/>
      <c r="H310" s="79">
        <f>H311+H319+H324+H328+H335</f>
        <v>554760.2000000001</v>
      </c>
      <c r="I310" s="79">
        <f>I311+I319+I324+I328+I335</f>
        <v>9680</v>
      </c>
      <c r="J310" s="79">
        <f>J311+J319+J324+J328+J335</f>
        <v>520249.5</v>
      </c>
      <c r="K310" s="79">
        <f>K311+K319+K324+K328+K335</f>
        <v>8299.800000000001</v>
      </c>
      <c r="L310" s="324">
        <f t="shared" si="55"/>
        <v>93.77916800808708</v>
      </c>
      <c r="M310" s="311">
        <f t="shared" si="55"/>
        <v>85.7417355371901</v>
      </c>
    </row>
    <row r="311" spans="1:13" ht="18" customHeight="1">
      <c r="A311" s="102" t="s">
        <v>224</v>
      </c>
      <c r="B311" s="40" t="s">
        <v>67</v>
      </c>
      <c r="C311" s="21" t="s">
        <v>188</v>
      </c>
      <c r="D311" s="28" t="s">
        <v>182</v>
      </c>
      <c r="E311" s="16"/>
      <c r="F311" s="31"/>
      <c r="G311" s="109"/>
      <c r="H311" s="79">
        <f>H312+H316</f>
        <v>206002.09999999998</v>
      </c>
      <c r="I311" s="79">
        <f>I312+I316</f>
        <v>78</v>
      </c>
      <c r="J311" s="79">
        <f>J312+J316</f>
        <v>202396</v>
      </c>
      <c r="K311" s="79">
        <f>K312+K316</f>
        <v>75.6</v>
      </c>
      <c r="L311" s="307">
        <f t="shared" si="55"/>
        <v>98.24948386448489</v>
      </c>
      <c r="M311" s="306">
        <f t="shared" si="55"/>
        <v>96.9230769230769</v>
      </c>
    </row>
    <row r="312" spans="1:13" ht="36.75" customHeight="1">
      <c r="A312" s="24" t="s">
        <v>41</v>
      </c>
      <c r="B312" s="40" t="s">
        <v>67</v>
      </c>
      <c r="C312" s="21" t="s">
        <v>188</v>
      </c>
      <c r="D312" s="29" t="s">
        <v>182</v>
      </c>
      <c r="E312" s="17" t="s">
        <v>42</v>
      </c>
      <c r="F312" s="29"/>
      <c r="G312" s="76"/>
      <c r="H312" s="37">
        <f>H313</f>
        <v>182258.8</v>
      </c>
      <c r="I312" s="37">
        <f>I313</f>
        <v>78</v>
      </c>
      <c r="J312" s="37">
        <f>J313</f>
        <v>180971.9</v>
      </c>
      <c r="K312" s="37">
        <f>K313</f>
        <v>75.6</v>
      </c>
      <c r="L312" s="62"/>
      <c r="M312" s="250"/>
    </row>
    <row r="313" spans="1:13" ht="15.75">
      <c r="A313" s="25" t="s">
        <v>27</v>
      </c>
      <c r="B313" s="40" t="s">
        <v>67</v>
      </c>
      <c r="C313" s="21" t="s">
        <v>188</v>
      </c>
      <c r="D313" s="29" t="s">
        <v>182</v>
      </c>
      <c r="E313" s="17" t="s">
        <v>225</v>
      </c>
      <c r="F313" s="29"/>
      <c r="G313" s="85"/>
      <c r="H313" s="37">
        <f>H314+H315</f>
        <v>182258.8</v>
      </c>
      <c r="I313" s="37">
        <f>I314+I315</f>
        <v>78</v>
      </c>
      <c r="J313" s="37">
        <f>J314+J315</f>
        <v>180971.9</v>
      </c>
      <c r="K313" s="37">
        <f>K314+K315</f>
        <v>75.6</v>
      </c>
      <c r="L313" s="321"/>
      <c r="M313" s="246"/>
    </row>
    <row r="314" spans="1:13" ht="15.75">
      <c r="A314" s="25" t="s">
        <v>168</v>
      </c>
      <c r="B314" s="40" t="s">
        <v>67</v>
      </c>
      <c r="C314" s="21" t="s">
        <v>188</v>
      </c>
      <c r="D314" s="29" t="s">
        <v>182</v>
      </c>
      <c r="E314" s="17" t="s">
        <v>225</v>
      </c>
      <c r="F314" s="29"/>
      <c r="G314" s="85" t="s">
        <v>84</v>
      </c>
      <c r="H314" s="37">
        <f>55817+127363.8-1000</f>
        <v>182180.8</v>
      </c>
      <c r="I314" s="37"/>
      <c r="J314" s="246">
        <f>51912.5+7692.1+121291.7</f>
        <v>180896.3</v>
      </c>
      <c r="K314" s="246"/>
      <c r="L314" s="321"/>
      <c r="M314" s="246"/>
    </row>
    <row r="315" spans="1:13" ht="15.75">
      <c r="A315" s="25" t="s">
        <v>168</v>
      </c>
      <c r="B315" s="40" t="s">
        <v>67</v>
      </c>
      <c r="C315" s="21" t="s">
        <v>188</v>
      </c>
      <c r="D315" s="29" t="s">
        <v>182</v>
      </c>
      <c r="E315" s="17" t="s">
        <v>394</v>
      </c>
      <c r="F315" s="29"/>
      <c r="G315" s="85" t="s">
        <v>84</v>
      </c>
      <c r="H315" s="37">
        <f>1021-943</f>
        <v>78</v>
      </c>
      <c r="I315" s="37">
        <f>1021-943</f>
        <v>78</v>
      </c>
      <c r="J315" s="246">
        <v>75.6</v>
      </c>
      <c r="K315" s="246">
        <v>75.6</v>
      </c>
      <c r="L315" s="321"/>
      <c r="M315" s="246"/>
    </row>
    <row r="316" spans="1:13" ht="15.75">
      <c r="A316" s="25" t="s">
        <v>311</v>
      </c>
      <c r="B316" s="40" t="s">
        <v>67</v>
      </c>
      <c r="C316" s="21" t="s">
        <v>188</v>
      </c>
      <c r="D316" s="29" t="s">
        <v>182</v>
      </c>
      <c r="E316" s="17" t="s">
        <v>312</v>
      </c>
      <c r="F316" s="29"/>
      <c r="G316" s="85"/>
      <c r="H316" s="37">
        <f aca="true" t="shared" si="56" ref="H316:J317">H317</f>
        <v>23743.3</v>
      </c>
      <c r="I316" s="37">
        <f t="shared" si="56"/>
        <v>0</v>
      </c>
      <c r="J316" s="37">
        <f t="shared" si="56"/>
        <v>21424.1</v>
      </c>
      <c r="K316" s="246"/>
      <c r="L316" s="321"/>
      <c r="M316" s="246"/>
    </row>
    <row r="317" spans="1:13" ht="15.75">
      <c r="A317" s="25" t="s">
        <v>27</v>
      </c>
      <c r="B317" s="40" t="s">
        <v>67</v>
      </c>
      <c r="C317" s="21" t="s">
        <v>188</v>
      </c>
      <c r="D317" s="29" t="s">
        <v>182</v>
      </c>
      <c r="E317" s="17" t="s">
        <v>313</v>
      </c>
      <c r="F317" s="29"/>
      <c r="G317" s="85"/>
      <c r="H317" s="37">
        <f t="shared" si="56"/>
        <v>23743.3</v>
      </c>
      <c r="I317" s="37">
        <f t="shared" si="56"/>
        <v>0</v>
      </c>
      <c r="J317" s="37">
        <f t="shared" si="56"/>
        <v>21424.1</v>
      </c>
      <c r="K317" s="246"/>
      <c r="L317" s="321"/>
      <c r="M317" s="246"/>
    </row>
    <row r="318" spans="1:13" ht="15.75">
      <c r="A318" s="25" t="s">
        <v>168</v>
      </c>
      <c r="B318" s="40" t="s">
        <v>67</v>
      </c>
      <c r="C318" s="21" t="s">
        <v>188</v>
      </c>
      <c r="D318" s="29" t="s">
        <v>182</v>
      </c>
      <c r="E318" s="17" t="s">
        <v>313</v>
      </c>
      <c r="F318" s="29"/>
      <c r="G318" s="85" t="s">
        <v>84</v>
      </c>
      <c r="H318" s="37">
        <f>2761.2+21582.1-600</f>
        <v>23743.3</v>
      </c>
      <c r="I318" s="37"/>
      <c r="J318" s="246">
        <f>2126.4+5790.7+13507</f>
        <v>21424.1</v>
      </c>
      <c r="K318" s="246"/>
      <c r="L318" s="180"/>
      <c r="M318" s="248"/>
    </row>
    <row r="319" spans="1:13" ht="15.75">
      <c r="A319" s="25" t="s">
        <v>314</v>
      </c>
      <c r="B319" s="40" t="s">
        <v>67</v>
      </c>
      <c r="C319" s="21" t="s">
        <v>188</v>
      </c>
      <c r="D319" s="29" t="s">
        <v>183</v>
      </c>
      <c r="E319" s="17"/>
      <c r="F319" s="29"/>
      <c r="G319" s="85"/>
      <c r="H319" s="37">
        <f>H320</f>
        <v>298953.4</v>
      </c>
      <c r="I319" s="37">
        <f>I320</f>
        <v>7219</v>
      </c>
      <c r="J319" s="37">
        <f>J320</f>
        <v>272615.6</v>
      </c>
      <c r="K319" s="37">
        <f>K320</f>
        <v>6645.5</v>
      </c>
      <c r="L319" s="307">
        <f>J319/H319*100</f>
        <v>91.18999817362838</v>
      </c>
      <c r="M319" s="306">
        <f>K319/I319*100</f>
        <v>92.05568638315556</v>
      </c>
    </row>
    <row r="320" spans="1:13" ht="15.75">
      <c r="A320" s="25" t="s">
        <v>315</v>
      </c>
      <c r="B320" s="40" t="s">
        <v>67</v>
      </c>
      <c r="C320" s="21" t="s">
        <v>188</v>
      </c>
      <c r="D320" s="29" t="s">
        <v>183</v>
      </c>
      <c r="E320" s="17" t="s">
        <v>316</v>
      </c>
      <c r="F320" s="29"/>
      <c r="G320" s="85"/>
      <c r="H320" s="37">
        <f>H322+H323</f>
        <v>298953.4</v>
      </c>
      <c r="I320" s="37">
        <f>I321</f>
        <v>7219</v>
      </c>
      <c r="J320" s="37">
        <f>J322+J323</f>
        <v>272615.6</v>
      </c>
      <c r="K320" s="37">
        <f>K322+K323</f>
        <v>6645.5</v>
      </c>
      <c r="L320" s="62"/>
      <c r="M320" s="250"/>
    </row>
    <row r="321" spans="1:13" ht="15.75">
      <c r="A321" s="25" t="s">
        <v>27</v>
      </c>
      <c r="B321" s="40" t="s">
        <v>67</v>
      </c>
      <c r="C321" s="21" t="s">
        <v>188</v>
      </c>
      <c r="D321" s="29" t="s">
        <v>183</v>
      </c>
      <c r="E321" s="17" t="s">
        <v>317</v>
      </c>
      <c r="F321" s="29"/>
      <c r="G321" s="85"/>
      <c r="H321" s="37">
        <f>H322+H323</f>
        <v>298953.4</v>
      </c>
      <c r="I321" s="37">
        <f>I322+I323</f>
        <v>7219</v>
      </c>
      <c r="J321" s="37">
        <f>J322+J323</f>
        <v>272615.6</v>
      </c>
      <c r="K321" s="37">
        <f>K322+K323</f>
        <v>6645.5</v>
      </c>
      <c r="L321" s="321"/>
      <c r="M321" s="246"/>
    </row>
    <row r="322" spans="1:13" ht="15.75">
      <c r="A322" s="25" t="s">
        <v>168</v>
      </c>
      <c r="B322" s="40" t="s">
        <v>67</v>
      </c>
      <c r="C322" s="21" t="s">
        <v>188</v>
      </c>
      <c r="D322" s="29" t="s">
        <v>183</v>
      </c>
      <c r="E322" s="17" t="s">
        <v>317</v>
      </c>
      <c r="F322" s="29"/>
      <c r="G322" s="85" t="s">
        <v>84</v>
      </c>
      <c r="H322" s="37">
        <f>194464.1+99470.3-2200</f>
        <v>291734.4</v>
      </c>
      <c r="I322" s="37"/>
      <c r="J322" s="246">
        <f>41833.3+96100+128036.8</f>
        <v>265970.1</v>
      </c>
      <c r="K322" s="246"/>
      <c r="L322" s="321"/>
      <c r="M322" s="246"/>
    </row>
    <row r="323" spans="1:13" ht="15.75">
      <c r="A323" s="25" t="s">
        <v>168</v>
      </c>
      <c r="B323" s="40" t="s">
        <v>67</v>
      </c>
      <c r="C323" s="21" t="s">
        <v>188</v>
      </c>
      <c r="D323" s="29" t="s">
        <v>183</v>
      </c>
      <c r="E323" s="17" t="s">
        <v>393</v>
      </c>
      <c r="F323" s="29"/>
      <c r="G323" s="85" t="s">
        <v>84</v>
      </c>
      <c r="H323" s="37">
        <f>8732-1513</f>
        <v>7219</v>
      </c>
      <c r="I323" s="37">
        <f>8732-1513</f>
        <v>7219</v>
      </c>
      <c r="J323" s="246">
        <v>6645.5</v>
      </c>
      <c r="K323" s="246">
        <v>6645.5</v>
      </c>
      <c r="L323" s="180"/>
      <c r="M323" s="248"/>
    </row>
    <row r="324" spans="1:13" ht="15.75">
      <c r="A324" s="25" t="s">
        <v>318</v>
      </c>
      <c r="B324" s="40" t="s">
        <v>67</v>
      </c>
      <c r="C324" s="21" t="s">
        <v>188</v>
      </c>
      <c r="D324" s="29" t="s">
        <v>187</v>
      </c>
      <c r="E324" s="17"/>
      <c r="F324" s="29"/>
      <c r="G324" s="85"/>
      <c r="H324" s="37">
        <f aca="true" t="shared" si="57" ref="H324:J326">H325</f>
        <v>5421.5</v>
      </c>
      <c r="I324" s="37">
        <f t="shared" si="57"/>
        <v>0</v>
      </c>
      <c r="J324" s="37">
        <f t="shared" si="57"/>
        <v>3982.7999999999997</v>
      </c>
      <c r="K324" s="246"/>
      <c r="L324" s="307">
        <f>J324/H324*100</f>
        <v>73.46306372775062</v>
      </c>
      <c r="M324" s="306"/>
    </row>
    <row r="325" spans="1:13" ht="15.75">
      <c r="A325" s="24" t="s">
        <v>41</v>
      </c>
      <c r="B325" s="40" t="s">
        <v>67</v>
      </c>
      <c r="C325" s="21" t="s">
        <v>188</v>
      </c>
      <c r="D325" s="29" t="s">
        <v>187</v>
      </c>
      <c r="E325" s="17" t="s">
        <v>42</v>
      </c>
      <c r="F325" s="29"/>
      <c r="G325" s="76"/>
      <c r="H325" s="37">
        <f t="shared" si="57"/>
        <v>5421.5</v>
      </c>
      <c r="I325" s="37">
        <f t="shared" si="57"/>
        <v>0</v>
      </c>
      <c r="J325" s="37">
        <f t="shared" si="57"/>
        <v>3982.7999999999997</v>
      </c>
      <c r="K325" s="246"/>
      <c r="L325" s="62"/>
      <c r="M325" s="250"/>
    </row>
    <row r="326" spans="1:13" ht="15.75">
      <c r="A326" s="25" t="s">
        <v>27</v>
      </c>
      <c r="B326" s="40" t="s">
        <v>67</v>
      </c>
      <c r="C326" s="21" t="s">
        <v>188</v>
      </c>
      <c r="D326" s="29" t="s">
        <v>187</v>
      </c>
      <c r="E326" s="17" t="s">
        <v>225</v>
      </c>
      <c r="F326" s="29"/>
      <c r="G326" s="85"/>
      <c r="H326" s="37">
        <f t="shared" si="57"/>
        <v>5421.5</v>
      </c>
      <c r="I326" s="37">
        <f t="shared" si="57"/>
        <v>0</v>
      </c>
      <c r="J326" s="37">
        <f t="shared" si="57"/>
        <v>3982.7999999999997</v>
      </c>
      <c r="K326" s="246"/>
      <c r="L326" s="321"/>
      <c r="M326" s="246"/>
    </row>
    <row r="327" spans="1:13" ht="15.75">
      <c r="A327" s="25" t="s">
        <v>168</v>
      </c>
      <c r="B327" s="40" t="s">
        <v>67</v>
      </c>
      <c r="C327" s="21" t="s">
        <v>188</v>
      </c>
      <c r="D327" s="29" t="s">
        <v>187</v>
      </c>
      <c r="E327" s="17" t="s">
        <v>225</v>
      </c>
      <c r="F327" s="29"/>
      <c r="G327" s="85" t="s">
        <v>84</v>
      </c>
      <c r="H327" s="37">
        <f>5218.9+202.6</f>
        <v>5421.5</v>
      </c>
      <c r="I327" s="37"/>
      <c r="J327" s="246">
        <f>17.3+194.4+3771.1</f>
        <v>3982.7999999999997</v>
      </c>
      <c r="K327" s="246"/>
      <c r="L327" s="180"/>
      <c r="M327" s="248"/>
    </row>
    <row r="328" spans="1:13" ht="15.75">
      <c r="A328" s="25" t="s">
        <v>319</v>
      </c>
      <c r="B328" s="40" t="s">
        <v>67</v>
      </c>
      <c r="C328" s="21" t="s">
        <v>188</v>
      </c>
      <c r="D328" s="29" t="s">
        <v>184</v>
      </c>
      <c r="E328" s="17"/>
      <c r="F328" s="29"/>
      <c r="G328" s="85"/>
      <c r="H328" s="37">
        <f>H329+H332</f>
        <v>43697.799999999996</v>
      </c>
      <c r="I328" s="37">
        <f>I329+I332</f>
        <v>2383</v>
      </c>
      <c r="J328" s="37">
        <f>J329+J332</f>
        <v>40571.2</v>
      </c>
      <c r="K328" s="37">
        <f>K329+K332</f>
        <v>1578.7</v>
      </c>
      <c r="L328" s="307">
        <f>J328/H328*100</f>
        <v>92.84494871595366</v>
      </c>
      <c r="M328" s="306">
        <f>K328/I328*100</f>
        <v>66.24842635333613</v>
      </c>
    </row>
    <row r="329" spans="1:13" ht="15.75">
      <c r="A329" s="25" t="s">
        <v>320</v>
      </c>
      <c r="B329" s="40" t="s">
        <v>67</v>
      </c>
      <c r="C329" s="21" t="s">
        <v>188</v>
      </c>
      <c r="D329" s="29" t="s">
        <v>184</v>
      </c>
      <c r="E329" s="17" t="s">
        <v>321</v>
      </c>
      <c r="F329" s="29"/>
      <c r="G329" s="85"/>
      <c r="H329" s="37">
        <f aca="true" t="shared" si="58" ref="H329:J330">H330</f>
        <v>40745.6</v>
      </c>
      <c r="I329" s="37">
        <f t="shared" si="58"/>
        <v>0</v>
      </c>
      <c r="J329" s="246">
        <f t="shared" si="58"/>
        <v>38423.299999999996</v>
      </c>
      <c r="K329" s="246"/>
      <c r="L329" s="62"/>
      <c r="M329" s="250"/>
    </row>
    <row r="330" spans="1:13" ht="15.75">
      <c r="A330" s="25" t="s">
        <v>27</v>
      </c>
      <c r="B330" s="40" t="s">
        <v>67</v>
      </c>
      <c r="C330" s="21" t="s">
        <v>188</v>
      </c>
      <c r="D330" s="29" t="s">
        <v>184</v>
      </c>
      <c r="E330" s="17" t="s">
        <v>322</v>
      </c>
      <c r="F330" s="29"/>
      <c r="G330" s="85"/>
      <c r="H330" s="37">
        <f t="shared" si="58"/>
        <v>40745.6</v>
      </c>
      <c r="I330" s="37">
        <f t="shared" si="58"/>
        <v>0</v>
      </c>
      <c r="J330" s="246">
        <f t="shared" si="58"/>
        <v>38423.299999999996</v>
      </c>
      <c r="K330" s="246"/>
      <c r="L330" s="321"/>
      <c r="M330" s="246"/>
    </row>
    <row r="331" spans="1:13" ht="15.75">
      <c r="A331" s="25" t="s">
        <v>168</v>
      </c>
      <c r="B331" s="40" t="s">
        <v>67</v>
      </c>
      <c r="C331" s="21" t="s">
        <v>188</v>
      </c>
      <c r="D331" s="29" t="s">
        <v>184</v>
      </c>
      <c r="E331" s="17" t="s">
        <v>322</v>
      </c>
      <c r="F331" s="29"/>
      <c r="G331" s="85" t="s">
        <v>84</v>
      </c>
      <c r="H331" s="37">
        <f>1306.4+39439.2</f>
        <v>40745.6</v>
      </c>
      <c r="I331" s="37"/>
      <c r="J331" s="246">
        <f>936.2+37487.1</f>
        <v>38423.299999999996</v>
      </c>
      <c r="K331" s="246"/>
      <c r="L331" s="321"/>
      <c r="M331" s="246"/>
    </row>
    <row r="332" spans="1:13" ht="15.75">
      <c r="A332" s="25" t="s">
        <v>122</v>
      </c>
      <c r="B332" s="40" t="s">
        <v>67</v>
      </c>
      <c r="C332" s="21" t="s">
        <v>188</v>
      </c>
      <c r="D332" s="29" t="s">
        <v>184</v>
      </c>
      <c r="E332" s="17" t="s">
        <v>93</v>
      </c>
      <c r="F332" s="29"/>
      <c r="G332" s="85"/>
      <c r="H332" s="37">
        <f aca="true" t="shared" si="59" ref="H332:K333">H333</f>
        <v>2952.2</v>
      </c>
      <c r="I332" s="37">
        <f t="shared" si="59"/>
        <v>2383</v>
      </c>
      <c r="J332" s="37">
        <f t="shared" si="59"/>
        <v>2147.9</v>
      </c>
      <c r="K332" s="37">
        <f t="shared" si="59"/>
        <v>1578.7</v>
      </c>
      <c r="L332" s="321"/>
      <c r="M332" s="246"/>
    </row>
    <row r="333" spans="1:13" ht="39">
      <c r="A333" s="44" t="s">
        <v>323</v>
      </c>
      <c r="B333" s="40" t="s">
        <v>67</v>
      </c>
      <c r="C333" s="21" t="s">
        <v>188</v>
      </c>
      <c r="D333" s="29" t="s">
        <v>184</v>
      </c>
      <c r="E333" s="17" t="s">
        <v>268</v>
      </c>
      <c r="F333" s="29"/>
      <c r="G333" s="85"/>
      <c r="H333" s="37">
        <f t="shared" si="59"/>
        <v>2952.2</v>
      </c>
      <c r="I333" s="37">
        <f t="shared" si="59"/>
        <v>2383</v>
      </c>
      <c r="J333" s="246">
        <f t="shared" si="59"/>
        <v>2147.9</v>
      </c>
      <c r="K333" s="37">
        <f t="shared" si="59"/>
        <v>1578.7</v>
      </c>
      <c r="L333" s="321"/>
      <c r="M333" s="246"/>
    </row>
    <row r="334" spans="1:13" ht="15.75">
      <c r="A334" s="25" t="s">
        <v>168</v>
      </c>
      <c r="B334" s="40" t="s">
        <v>67</v>
      </c>
      <c r="C334" s="21" t="s">
        <v>188</v>
      </c>
      <c r="D334" s="29" t="s">
        <v>184</v>
      </c>
      <c r="E334" s="17" t="s">
        <v>268</v>
      </c>
      <c r="F334" s="29"/>
      <c r="G334" s="85" t="s">
        <v>84</v>
      </c>
      <c r="H334" s="37">
        <f>2403+569.2+80-100</f>
        <v>2952.2</v>
      </c>
      <c r="I334" s="37">
        <f>2403+80-100</f>
        <v>2383</v>
      </c>
      <c r="J334" s="246">
        <f>2147.9</f>
        <v>2147.9</v>
      </c>
      <c r="K334" s="246">
        <v>1578.7</v>
      </c>
      <c r="L334" s="180"/>
      <c r="M334" s="248"/>
    </row>
    <row r="335" spans="1:13" ht="15.75">
      <c r="A335" s="106" t="s">
        <v>45</v>
      </c>
      <c r="B335" s="41" t="s">
        <v>67</v>
      </c>
      <c r="C335" s="17" t="s">
        <v>188</v>
      </c>
      <c r="D335" s="29" t="s">
        <v>189</v>
      </c>
      <c r="E335" s="17"/>
      <c r="F335" s="7"/>
      <c r="G335" s="47"/>
      <c r="H335" s="37">
        <f>H336</f>
        <v>685.3999999999999</v>
      </c>
      <c r="I335" s="37"/>
      <c r="J335" s="37">
        <f>J336</f>
        <v>683.9000000000001</v>
      </c>
      <c r="K335" s="246"/>
      <c r="L335" s="307">
        <f>J335/H335*100</f>
        <v>99.7811496936096</v>
      </c>
      <c r="M335" s="306"/>
    </row>
    <row r="336" spans="1:13" ht="15.75">
      <c r="A336" s="8" t="s">
        <v>127</v>
      </c>
      <c r="B336" s="41" t="s">
        <v>67</v>
      </c>
      <c r="C336" s="17" t="s">
        <v>188</v>
      </c>
      <c r="D336" s="29" t="s">
        <v>189</v>
      </c>
      <c r="E336" s="17" t="s">
        <v>128</v>
      </c>
      <c r="F336" s="7"/>
      <c r="G336" s="47"/>
      <c r="H336" s="37">
        <f>H339+H337+H341</f>
        <v>685.3999999999999</v>
      </c>
      <c r="I336" s="37"/>
      <c r="J336" s="37">
        <f>J339+J337+J341</f>
        <v>683.9000000000001</v>
      </c>
      <c r="K336" s="246"/>
      <c r="L336" s="62"/>
      <c r="M336" s="250"/>
    </row>
    <row r="337" spans="1:13" ht="39">
      <c r="A337" s="97" t="s">
        <v>335</v>
      </c>
      <c r="B337" s="41" t="s">
        <v>67</v>
      </c>
      <c r="C337" s="17" t="s">
        <v>188</v>
      </c>
      <c r="D337" s="29" t="s">
        <v>189</v>
      </c>
      <c r="E337" s="17" t="s">
        <v>336</v>
      </c>
      <c r="F337" s="7"/>
      <c r="G337" s="47"/>
      <c r="H337" s="37">
        <f>H338</f>
        <v>671.2</v>
      </c>
      <c r="I337" s="37"/>
      <c r="J337" s="246">
        <f>J338</f>
        <v>671.2</v>
      </c>
      <c r="K337" s="246"/>
      <c r="L337" s="321"/>
      <c r="M337" s="246"/>
    </row>
    <row r="338" spans="1:13" ht="15.75">
      <c r="A338" s="32" t="s">
        <v>142</v>
      </c>
      <c r="B338" s="41" t="s">
        <v>67</v>
      </c>
      <c r="C338" s="17" t="s">
        <v>188</v>
      </c>
      <c r="D338" s="29" t="s">
        <v>189</v>
      </c>
      <c r="E338" s="17" t="s">
        <v>336</v>
      </c>
      <c r="F338" s="7"/>
      <c r="G338" s="47" t="s">
        <v>266</v>
      </c>
      <c r="H338" s="37">
        <f>2544.5-1500+500-873.3</f>
        <v>671.2</v>
      </c>
      <c r="I338" s="37"/>
      <c r="J338" s="246">
        <v>671.2</v>
      </c>
      <c r="K338" s="246"/>
      <c r="L338" s="321"/>
      <c r="M338" s="246"/>
    </row>
    <row r="339" spans="1:13" ht="39">
      <c r="A339" s="97" t="s">
        <v>332</v>
      </c>
      <c r="B339" s="41" t="s">
        <v>67</v>
      </c>
      <c r="C339" s="17" t="s">
        <v>188</v>
      </c>
      <c r="D339" s="29" t="s">
        <v>189</v>
      </c>
      <c r="E339" s="17" t="s">
        <v>333</v>
      </c>
      <c r="F339" s="7"/>
      <c r="G339" s="47"/>
      <c r="H339" s="37">
        <f>H340</f>
        <v>14.199999999999818</v>
      </c>
      <c r="I339" s="37"/>
      <c r="J339" s="246">
        <f>J340</f>
        <v>12.7</v>
      </c>
      <c r="K339" s="246"/>
      <c r="L339" s="321"/>
      <c r="M339" s="246"/>
    </row>
    <row r="340" spans="1:13" ht="15.75">
      <c r="A340" s="32" t="s">
        <v>142</v>
      </c>
      <c r="B340" s="41" t="s">
        <v>67</v>
      </c>
      <c r="C340" s="17" t="s">
        <v>188</v>
      </c>
      <c r="D340" s="29" t="s">
        <v>189</v>
      </c>
      <c r="E340" s="17" t="s">
        <v>333</v>
      </c>
      <c r="F340" s="7"/>
      <c r="G340" s="47" t="s">
        <v>266</v>
      </c>
      <c r="H340" s="37">
        <f>8187.4-3544.5-2500-2128.7</f>
        <v>14.199999999999818</v>
      </c>
      <c r="I340" s="37"/>
      <c r="J340" s="246">
        <v>12.7</v>
      </c>
      <c r="K340" s="246"/>
      <c r="L340" s="321"/>
      <c r="M340" s="246"/>
    </row>
    <row r="341" spans="1:13" ht="26.25">
      <c r="A341" s="161" t="s">
        <v>337</v>
      </c>
      <c r="B341" s="41" t="s">
        <v>67</v>
      </c>
      <c r="C341" s="17" t="s">
        <v>188</v>
      </c>
      <c r="D341" s="29" t="s">
        <v>189</v>
      </c>
      <c r="E341" s="17" t="s">
        <v>338</v>
      </c>
      <c r="F341" s="7"/>
      <c r="G341" s="47"/>
      <c r="H341" s="37">
        <f>H342</f>
        <v>0</v>
      </c>
      <c r="I341" s="37"/>
      <c r="J341" s="246"/>
      <c r="K341" s="246"/>
      <c r="L341" s="321"/>
      <c r="M341" s="246"/>
    </row>
    <row r="342" spans="1:13" ht="15.75">
      <c r="A342" s="32" t="s">
        <v>142</v>
      </c>
      <c r="B342" s="41" t="s">
        <v>67</v>
      </c>
      <c r="C342" s="17" t="s">
        <v>188</v>
      </c>
      <c r="D342" s="29" t="s">
        <v>189</v>
      </c>
      <c r="E342" s="17" t="s">
        <v>338</v>
      </c>
      <c r="F342" s="7"/>
      <c r="G342" s="47" t="s">
        <v>266</v>
      </c>
      <c r="H342" s="37">
        <f>1000-500-500</f>
        <v>0</v>
      </c>
      <c r="I342" s="37"/>
      <c r="J342" s="246"/>
      <c r="K342" s="246"/>
      <c r="L342" s="180"/>
      <c r="M342" s="248"/>
    </row>
    <row r="343" spans="1:13" ht="15.75">
      <c r="A343" s="99" t="s">
        <v>5</v>
      </c>
      <c r="B343" s="94" t="s">
        <v>67</v>
      </c>
      <c r="C343" s="91" t="s">
        <v>189</v>
      </c>
      <c r="D343" s="103" t="s">
        <v>123</v>
      </c>
      <c r="E343" s="91"/>
      <c r="F343" s="89"/>
      <c r="G343" s="86"/>
      <c r="H343" s="75">
        <f aca="true" t="shared" si="60" ref="H343:J346">H344</f>
        <v>1000</v>
      </c>
      <c r="I343" s="75">
        <f t="shared" si="60"/>
        <v>0</v>
      </c>
      <c r="J343" s="75">
        <f t="shared" si="60"/>
        <v>1000</v>
      </c>
      <c r="K343" s="246"/>
      <c r="L343" s="307">
        <f>J343/H343*100</f>
        <v>100</v>
      </c>
      <c r="M343" s="306"/>
    </row>
    <row r="344" spans="1:13" ht="15.75">
      <c r="A344" s="8" t="s">
        <v>126</v>
      </c>
      <c r="B344" s="41" t="s">
        <v>67</v>
      </c>
      <c r="C344" s="17" t="s">
        <v>189</v>
      </c>
      <c r="D344" s="29" t="s">
        <v>201</v>
      </c>
      <c r="E344" s="17"/>
      <c r="F344" s="7"/>
      <c r="G344" s="47"/>
      <c r="H344" s="37">
        <f t="shared" si="60"/>
        <v>1000</v>
      </c>
      <c r="I344" s="37">
        <f t="shared" si="60"/>
        <v>0</v>
      </c>
      <c r="J344" s="246">
        <f>J345</f>
        <v>1000</v>
      </c>
      <c r="K344" s="246"/>
      <c r="L344" s="62"/>
      <c r="M344" s="250"/>
    </row>
    <row r="345" spans="1:13" ht="15.75">
      <c r="A345" s="8" t="s">
        <v>127</v>
      </c>
      <c r="B345" s="41" t="s">
        <v>67</v>
      </c>
      <c r="C345" s="17" t="s">
        <v>189</v>
      </c>
      <c r="D345" s="29" t="s">
        <v>201</v>
      </c>
      <c r="E345" s="17" t="s">
        <v>128</v>
      </c>
      <c r="F345" s="7"/>
      <c r="G345" s="47"/>
      <c r="H345" s="37">
        <f t="shared" si="60"/>
        <v>1000</v>
      </c>
      <c r="I345" s="37">
        <f t="shared" si="60"/>
        <v>0</v>
      </c>
      <c r="J345" s="246">
        <f>J346</f>
        <v>1000</v>
      </c>
      <c r="K345" s="246"/>
      <c r="L345" s="321"/>
      <c r="M345" s="246"/>
    </row>
    <row r="346" spans="1:13" ht="26.25">
      <c r="A346" s="97" t="s">
        <v>238</v>
      </c>
      <c r="B346" s="41" t="s">
        <v>67</v>
      </c>
      <c r="C346" s="17" t="s">
        <v>189</v>
      </c>
      <c r="D346" s="29" t="s">
        <v>201</v>
      </c>
      <c r="E346" s="17" t="s">
        <v>239</v>
      </c>
      <c r="F346" s="7"/>
      <c r="G346" s="47"/>
      <c r="H346" s="37">
        <f t="shared" si="60"/>
        <v>1000</v>
      </c>
      <c r="I346" s="37">
        <f t="shared" si="60"/>
        <v>0</v>
      </c>
      <c r="J346" s="246">
        <f>J347</f>
        <v>1000</v>
      </c>
      <c r="K346" s="246"/>
      <c r="L346" s="321"/>
      <c r="M346" s="246"/>
    </row>
    <row r="347" spans="1:13" ht="16.5" thickBot="1">
      <c r="A347" s="32" t="s">
        <v>142</v>
      </c>
      <c r="B347" s="15" t="s">
        <v>67</v>
      </c>
      <c r="C347" s="14" t="s">
        <v>189</v>
      </c>
      <c r="D347" s="9" t="s">
        <v>201</v>
      </c>
      <c r="E347" s="14" t="s">
        <v>239</v>
      </c>
      <c r="F347" s="9" t="s">
        <v>266</v>
      </c>
      <c r="G347" s="118" t="s">
        <v>266</v>
      </c>
      <c r="H347" s="39">
        <f>1000+500-500</f>
        <v>1000</v>
      </c>
      <c r="I347" s="39"/>
      <c r="J347" s="248">
        <v>1000</v>
      </c>
      <c r="K347" s="248"/>
      <c r="L347" s="180"/>
      <c r="M347" s="248"/>
    </row>
    <row r="348" spans="1:13" s="22" customFormat="1" ht="57" thickBot="1">
      <c r="A348" s="72" t="s">
        <v>120</v>
      </c>
      <c r="B348" s="27" t="s">
        <v>51</v>
      </c>
      <c r="C348" s="20"/>
      <c r="D348" s="12"/>
      <c r="E348" s="20"/>
      <c r="F348" s="12"/>
      <c r="G348" s="50"/>
      <c r="H348" s="38">
        <f>H349+H361+H354</f>
        <v>10845</v>
      </c>
      <c r="I348" s="38"/>
      <c r="J348" s="38">
        <f>J349+J361+J354</f>
        <v>9844.8</v>
      </c>
      <c r="K348" s="38"/>
      <c r="L348" s="243">
        <f>J348/H348*100</f>
        <v>90.77731673582295</v>
      </c>
      <c r="M348" s="154"/>
    </row>
    <row r="349" spans="1:13" ht="28.5" customHeight="1">
      <c r="A349" s="102" t="s">
        <v>17</v>
      </c>
      <c r="B349" s="93" t="s">
        <v>51</v>
      </c>
      <c r="C349" s="16" t="s">
        <v>182</v>
      </c>
      <c r="D349" s="31" t="s">
        <v>123</v>
      </c>
      <c r="E349" s="16"/>
      <c r="F349" s="87"/>
      <c r="G349" s="82"/>
      <c r="H349" s="79">
        <f aca="true" t="shared" si="61" ref="H349:J352">H350</f>
        <v>7405.1</v>
      </c>
      <c r="I349" s="79"/>
      <c r="J349" s="79">
        <f t="shared" si="61"/>
        <v>6939.1</v>
      </c>
      <c r="K349" s="79"/>
      <c r="L349" s="307">
        <f>J349/H349*100</f>
        <v>93.7070397428799</v>
      </c>
      <c r="M349" s="250"/>
    </row>
    <row r="350" spans="1:13" ht="15.75">
      <c r="A350" s="26" t="s">
        <v>78</v>
      </c>
      <c r="B350" s="40" t="s">
        <v>51</v>
      </c>
      <c r="C350" s="21" t="s">
        <v>182</v>
      </c>
      <c r="D350" s="28" t="s">
        <v>186</v>
      </c>
      <c r="E350" s="21"/>
      <c r="F350" s="28"/>
      <c r="G350" s="85"/>
      <c r="H350" s="36">
        <f t="shared" si="61"/>
        <v>7405.1</v>
      </c>
      <c r="I350" s="36"/>
      <c r="J350" s="36">
        <f t="shared" si="61"/>
        <v>6939.1</v>
      </c>
      <c r="K350" s="36"/>
      <c r="L350" s="321"/>
      <c r="M350" s="246"/>
    </row>
    <row r="351" spans="1:13" ht="15.75">
      <c r="A351" s="24" t="s">
        <v>18</v>
      </c>
      <c r="B351" s="41" t="s">
        <v>51</v>
      </c>
      <c r="C351" s="17" t="s">
        <v>182</v>
      </c>
      <c r="D351" s="29" t="s">
        <v>186</v>
      </c>
      <c r="E351" s="17" t="s">
        <v>265</v>
      </c>
      <c r="F351" s="29"/>
      <c r="G351" s="76"/>
      <c r="H351" s="37">
        <f t="shared" si="61"/>
        <v>7405.1</v>
      </c>
      <c r="I351" s="37"/>
      <c r="J351" s="37">
        <f t="shared" si="61"/>
        <v>6939.1</v>
      </c>
      <c r="K351" s="37"/>
      <c r="L351" s="321"/>
      <c r="M351" s="246"/>
    </row>
    <row r="352" spans="1:13" ht="15.75">
      <c r="A352" s="8" t="s">
        <v>50</v>
      </c>
      <c r="B352" s="42" t="s">
        <v>51</v>
      </c>
      <c r="C352" s="19" t="s">
        <v>182</v>
      </c>
      <c r="D352" s="30" t="s">
        <v>186</v>
      </c>
      <c r="E352" s="19" t="s">
        <v>267</v>
      </c>
      <c r="F352" s="5"/>
      <c r="G352" s="48"/>
      <c r="H352" s="37">
        <f t="shared" si="61"/>
        <v>7405.1</v>
      </c>
      <c r="I352" s="37"/>
      <c r="J352" s="37">
        <f t="shared" si="61"/>
        <v>6939.1</v>
      </c>
      <c r="K352" s="37"/>
      <c r="L352" s="321"/>
      <c r="M352" s="246"/>
    </row>
    <row r="353" spans="1:13" ht="15.75">
      <c r="A353" s="8" t="s">
        <v>142</v>
      </c>
      <c r="B353" s="41" t="s">
        <v>51</v>
      </c>
      <c r="C353" s="17" t="s">
        <v>182</v>
      </c>
      <c r="D353" s="29" t="s">
        <v>186</v>
      </c>
      <c r="E353" s="17" t="s">
        <v>267</v>
      </c>
      <c r="F353" s="7"/>
      <c r="G353" s="47" t="s">
        <v>266</v>
      </c>
      <c r="H353" s="37">
        <v>7405.1</v>
      </c>
      <c r="I353" s="157"/>
      <c r="J353" s="246">
        <v>6939.1</v>
      </c>
      <c r="K353" s="246"/>
      <c r="L353" s="321"/>
      <c r="M353" s="246"/>
    </row>
    <row r="354" spans="1:13" ht="15.75">
      <c r="A354" s="106" t="s">
        <v>23</v>
      </c>
      <c r="B354" s="94" t="s">
        <v>51</v>
      </c>
      <c r="C354" s="91" t="s">
        <v>196</v>
      </c>
      <c r="D354" s="103" t="s">
        <v>123</v>
      </c>
      <c r="E354" s="91"/>
      <c r="F354" s="89"/>
      <c r="G354" s="86"/>
      <c r="H354" s="37">
        <f>H355</f>
        <v>2937</v>
      </c>
      <c r="I354" s="157"/>
      <c r="J354" s="37">
        <f>J355</f>
        <v>2497</v>
      </c>
      <c r="K354" s="246"/>
      <c r="L354" s="307">
        <f>J354/H354*100</f>
        <v>85.0187265917603</v>
      </c>
      <c r="M354" s="306"/>
    </row>
    <row r="355" spans="1:13" ht="15.75">
      <c r="A355" s="104" t="s">
        <v>130</v>
      </c>
      <c r="B355" s="94" t="s">
        <v>51</v>
      </c>
      <c r="C355" s="91" t="s">
        <v>196</v>
      </c>
      <c r="D355" s="103" t="s">
        <v>187</v>
      </c>
      <c r="E355" s="91"/>
      <c r="F355" s="103"/>
      <c r="G355" s="120"/>
      <c r="H355" s="37">
        <f>H356</f>
        <v>2937</v>
      </c>
      <c r="I355" s="157"/>
      <c r="J355" s="37">
        <f>J356</f>
        <v>2497</v>
      </c>
      <c r="K355" s="246"/>
      <c r="L355" s="321"/>
      <c r="M355" s="246"/>
    </row>
    <row r="356" spans="1:13" ht="15.75">
      <c r="A356" s="81" t="s">
        <v>130</v>
      </c>
      <c r="B356" s="41" t="s">
        <v>51</v>
      </c>
      <c r="C356" s="17" t="s">
        <v>196</v>
      </c>
      <c r="D356" s="29" t="s">
        <v>187</v>
      </c>
      <c r="E356" s="19" t="s">
        <v>278</v>
      </c>
      <c r="F356" s="29"/>
      <c r="G356" s="162"/>
      <c r="H356" s="37">
        <f>H357+H359</f>
        <v>2937</v>
      </c>
      <c r="I356" s="157"/>
      <c r="J356" s="37">
        <f>J357+J359</f>
        <v>2497</v>
      </c>
      <c r="K356" s="246"/>
      <c r="L356" s="321"/>
      <c r="M356" s="246"/>
    </row>
    <row r="357" spans="1:13" ht="15.75">
      <c r="A357" s="8" t="s">
        <v>133</v>
      </c>
      <c r="B357" s="41" t="s">
        <v>51</v>
      </c>
      <c r="C357" s="17" t="s">
        <v>196</v>
      </c>
      <c r="D357" s="29" t="s">
        <v>187</v>
      </c>
      <c r="E357" s="19" t="s">
        <v>306</v>
      </c>
      <c r="F357" s="7"/>
      <c r="G357" s="47"/>
      <c r="H357" s="37">
        <f>H358</f>
        <v>0</v>
      </c>
      <c r="I357" s="157"/>
      <c r="J357" s="246"/>
      <c r="K357" s="246"/>
      <c r="L357" s="321"/>
      <c r="M357" s="246"/>
    </row>
    <row r="358" spans="1:13" ht="15.75">
      <c r="A358" s="26" t="s">
        <v>142</v>
      </c>
      <c r="B358" s="41" t="s">
        <v>51</v>
      </c>
      <c r="C358" s="17" t="s">
        <v>196</v>
      </c>
      <c r="D358" s="29" t="s">
        <v>187</v>
      </c>
      <c r="E358" s="19" t="s">
        <v>306</v>
      </c>
      <c r="F358" s="7"/>
      <c r="G358" s="47" t="s">
        <v>266</v>
      </c>
      <c r="H358" s="37">
        <f>808-808</f>
        <v>0</v>
      </c>
      <c r="I358" s="157"/>
      <c r="J358" s="246"/>
      <c r="K358" s="246"/>
      <c r="L358" s="321"/>
      <c r="M358" s="246"/>
    </row>
    <row r="359" spans="1:13" s="46" customFormat="1" ht="15.75">
      <c r="A359" s="8" t="s">
        <v>308</v>
      </c>
      <c r="B359" s="41" t="s">
        <v>51</v>
      </c>
      <c r="C359" s="17" t="s">
        <v>196</v>
      </c>
      <c r="D359" s="29" t="s">
        <v>187</v>
      </c>
      <c r="E359" s="19" t="s">
        <v>309</v>
      </c>
      <c r="F359" s="7"/>
      <c r="G359" s="47"/>
      <c r="H359" s="37">
        <f>H360</f>
        <v>2937</v>
      </c>
      <c r="I359" s="157"/>
      <c r="J359" s="37">
        <f>J360</f>
        <v>2497</v>
      </c>
      <c r="K359" s="157"/>
      <c r="L359" s="24"/>
      <c r="M359" s="157"/>
    </row>
    <row r="360" spans="1:13" s="46" customFormat="1" ht="15.75">
      <c r="A360" s="26" t="s">
        <v>142</v>
      </c>
      <c r="B360" s="41" t="s">
        <v>51</v>
      </c>
      <c r="C360" s="17" t="s">
        <v>196</v>
      </c>
      <c r="D360" s="29" t="s">
        <v>187</v>
      </c>
      <c r="E360" s="17" t="s">
        <v>309</v>
      </c>
      <c r="F360" s="7"/>
      <c r="G360" s="47" t="s">
        <v>266</v>
      </c>
      <c r="H360" s="37">
        <f>1300+1437+200</f>
        <v>2937</v>
      </c>
      <c r="I360" s="157"/>
      <c r="J360" s="63">
        <v>2497</v>
      </c>
      <c r="K360" s="157"/>
      <c r="L360" s="25"/>
      <c r="M360" s="157"/>
    </row>
    <row r="361" spans="1:13" s="22" customFormat="1" ht="15.75">
      <c r="A361" s="102" t="s">
        <v>34</v>
      </c>
      <c r="B361" s="93" t="s">
        <v>51</v>
      </c>
      <c r="C361" s="16" t="s">
        <v>191</v>
      </c>
      <c r="D361" s="31" t="s">
        <v>182</v>
      </c>
      <c r="E361" s="16"/>
      <c r="F361" s="31"/>
      <c r="G361" s="113"/>
      <c r="H361" s="79">
        <f>H362+H365</f>
        <v>502.9</v>
      </c>
      <c r="I361" s="178"/>
      <c r="J361" s="79">
        <f>J362+J365</f>
        <v>408.7</v>
      </c>
      <c r="K361" s="254"/>
      <c r="L361" s="307">
        <f>J361/H361*100</f>
        <v>81.26864187711274</v>
      </c>
      <c r="M361" s="254"/>
    </row>
    <row r="362" spans="1:13" ht="27" customHeight="1">
      <c r="A362" s="45" t="s">
        <v>98</v>
      </c>
      <c r="B362" s="41" t="s">
        <v>51</v>
      </c>
      <c r="C362" s="21" t="s">
        <v>191</v>
      </c>
      <c r="D362" s="28" t="s">
        <v>182</v>
      </c>
      <c r="E362" s="17" t="s">
        <v>39</v>
      </c>
      <c r="F362" s="29"/>
      <c r="G362" s="76"/>
      <c r="H362" s="37">
        <f>H363</f>
        <v>2.9</v>
      </c>
      <c r="I362" s="157"/>
      <c r="J362" s="37">
        <f>J363</f>
        <v>2.8</v>
      </c>
      <c r="K362" s="246"/>
      <c r="L362" s="62"/>
      <c r="M362" s="246"/>
    </row>
    <row r="363" spans="1:13" ht="26.25">
      <c r="A363" s="44" t="s">
        <v>99</v>
      </c>
      <c r="B363" s="41" t="s">
        <v>51</v>
      </c>
      <c r="C363" s="21" t="s">
        <v>191</v>
      </c>
      <c r="D363" s="28" t="s">
        <v>182</v>
      </c>
      <c r="E363" s="17" t="s">
        <v>222</v>
      </c>
      <c r="F363" s="29"/>
      <c r="G363" s="101"/>
      <c r="H363" s="37">
        <f>H364</f>
        <v>2.9</v>
      </c>
      <c r="I363" s="157"/>
      <c r="J363" s="37">
        <f>J364</f>
        <v>2.8</v>
      </c>
      <c r="K363" s="246"/>
      <c r="L363" s="321"/>
      <c r="M363" s="246"/>
    </row>
    <row r="364" spans="1:13" ht="15.75">
      <c r="A364" s="8" t="s">
        <v>168</v>
      </c>
      <c r="B364" s="41" t="s">
        <v>51</v>
      </c>
      <c r="C364" s="17" t="s">
        <v>191</v>
      </c>
      <c r="D364" s="29" t="s">
        <v>182</v>
      </c>
      <c r="E364" s="17" t="s">
        <v>222</v>
      </c>
      <c r="F364" s="29"/>
      <c r="G364" s="76" t="s">
        <v>84</v>
      </c>
      <c r="H364" s="37">
        <f>700-700+2.9</f>
        <v>2.9</v>
      </c>
      <c r="I364" s="157"/>
      <c r="J364" s="246">
        <v>2.8</v>
      </c>
      <c r="K364" s="246"/>
      <c r="L364" s="321"/>
      <c r="M364" s="246"/>
    </row>
    <row r="365" spans="1:13" ht="15.75">
      <c r="A365" s="24" t="s">
        <v>127</v>
      </c>
      <c r="B365" s="41" t="s">
        <v>51</v>
      </c>
      <c r="C365" s="21" t="s">
        <v>191</v>
      </c>
      <c r="D365" s="28" t="s">
        <v>182</v>
      </c>
      <c r="E365" s="17" t="s">
        <v>128</v>
      </c>
      <c r="F365" s="29"/>
      <c r="G365" s="76"/>
      <c r="H365" s="37">
        <f>H366</f>
        <v>500</v>
      </c>
      <c r="I365" s="157"/>
      <c r="J365" s="37">
        <f>J366</f>
        <v>405.9</v>
      </c>
      <c r="K365" s="246"/>
      <c r="L365" s="321"/>
      <c r="M365" s="246"/>
    </row>
    <row r="366" spans="1:13" ht="26.25">
      <c r="A366" s="97" t="s">
        <v>245</v>
      </c>
      <c r="B366" s="41" t="s">
        <v>51</v>
      </c>
      <c r="C366" s="21" t="s">
        <v>191</v>
      </c>
      <c r="D366" s="28" t="s">
        <v>182</v>
      </c>
      <c r="E366" s="17" t="s">
        <v>244</v>
      </c>
      <c r="F366" s="29"/>
      <c r="G366" s="76"/>
      <c r="H366" s="37">
        <f>H367</f>
        <v>500</v>
      </c>
      <c r="I366" s="157"/>
      <c r="J366" s="37">
        <f>J367</f>
        <v>405.9</v>
      </c>
      <c r="K366" s="246"/>
      <c r="L366" s="321"/>
      <c r="M366" s="246"/>
    </row>
    <row r="367" spans="1:13" ht="27" thickBot="1">
      <c r="A367" s="97" t="s">
        <v>328</v>
      </c>
      <c r="B367" s="42" t="s">
        <v>51</v>
      </c>
      <c r="C367" s="14" t="s">
        <v>191</v>
      </c>
      <c r="D367" s="9" t="s">
        <v>182</v>
      </c>
      <c r="E367" s="19" t="s">
        <v>244</v>
      </c>
      <c r="F367" s="30"/>
      <c r="G367" s="177" t="s">
        <v>329</v>
      </c>
      <c r="H367" s="39">
        <f>700-200</f>
        <v>500</v>
      </c>
      <c r="I367" s="310"/>
      <c r="J367" s="248">
        <v>405.9</v>
      </c>
      <c r="K367" s="248"/>
      <c r="L367" s="180"/>
      <c r="M367" s="248"/>
    </row>
    <row r="368" spans="1:13" ht="38.25" thickBot="1">
      <c r="A368" s="72" t="s">
        <v>118</v>
      </c>
      <c r="B368" s="27" t="s">
        <v>85</v>
      </c>
      <c r="C368" s="20"/>
      <c r="D368" s="12"/>
      <c r="E368" s="20"/>
      <c r="F368" s="12"/>
      <c r="G368" s="50"/>
      <c r="H368" s="38">
        <f>H369+H386</f>
        <v>27566.2</v>
      </c>
      <c r="I368" s="38">
        <f>I369+I386</f>
        <v>0</v>
      </c>
      <c r="J368" s="38">
        <f>J369+J386</f>
        <v>25515.700000000004</v>
      </c>
      <c r="K368" s="38">
        <f>K369+K386</f>
        <v>0</v>
      </c>
      <c r="L368" s="243">
        <f>J368/H368*100</f>
        <v>92.56154275888589</v>
      </c>
      <c r="M368" s="154"/>
    </row>
    <row r="369" spans="1:13" ht="15.75">
      <c r="A369" s="102" t="s">
        <v>6</v>
      </c>
      <c r="B369" s="93" t="s">
        <v>85</v>
      </c>
      <c r="C369" s="16" t="s">
        <v>190</v>
      </c>
      <c r="D369" s="31" t="s">
        <v>123</v>
      </c>
      <c r="E369" s="16"/>
      <c r="F369" s="87"/>
      <c r="G369" s="82"/>
      <c r="H369" s="36">
        <f>H370+H374</f>
        <v>6651.299999999999</v>
      </c>
      <c r="I369" s="36">
        <f>I370+I374</f>
        <v>0</v>
      </c>
      <c r="J369" s="36">
        <f>J370+J374</f>
        <v>6200.9</v>
      </c>
      <c r="K369" s="250"/>
      <c r="L369" s="307">
        <f>J369/H369*100</f>
        <v>93.22839144227444</v>
      </c>
      <c r="M369" s="306"/>
    </row>
    <row r="370" spans="1:13" ht="15.75">
      <c r="A370" s="8" t="s">
        <v>9</v>
      </c>
      <c r="B370" s="40" t="s">
        <v>85</v>
      </c>
      <c r="C370" s="17" t="s">
        <v>190</v>
      </c>
      <c r="D370" s="28" t="s">
        <v>183</v>
      </c>
      <c r="E370" s="21"/>
      <c r="F370" s="28"/>
      <c r="G370" s="85"/>
      <c r="H370" s="79">
        <f aca="true" t="shared" si="62" ref="H370:J372">H371</f>
        <v>2247.1</v>
      </c>
      <c r="I370" s="79">
        <f t="shared" si="62"/>
        <v>0</v>
      </c>
      <c r="J370" s="79">
        <f t="shared" si="62"/>
        <v>2213.2</v>
      </c>
      <c r="K370" s="246"/>
      <c r="L370" s="321"/>
      <c r="M370" s="246"/>
    </row>
    <row r="371" spans="1:13" ht="15.75">
      <c r="A371" s="32" t="s">
        <v>31</v>
      </c>
      <c r="B371" s="15" t="s">
        <v>85</v>
      </c>
      <c r="C371" s="17" t="s">
        <v>190</v>
      </c>
      <c r="D371" s="28" t="s">
        <v>183</v>
      </c>
      <c r="E371" s="14" t="s">
        <v>32</v>
      </c>
      <c r="F371" s="9"/>
      <c r="G371" s="76"/>
      <c r="H371" s="36">
        <f t="shared" si="62"/>
        <v>2247.1</v>
      </c>
      <c r="I371" s="36">
        <f t="shared" si="62"/>
        <v>0</v>
      </c>
      <c r="J371" s="36">
        <f t="shared" si="62"/>
        <v>2213.2</v>
      </c>
      <c r="K371" s="246"/>
      <c r="L371" s="321"/>
      <c r="M371" s="246"/>
    </row>
    <row r="372" spans="1:13" ht="15.75">
      <c r="A372" s="25" t="s">
        <v>27</v>
      </c>
      <c r="B372" s="42" t="s">
        <v>85</v>
      </c>
      <c r="C372" s="17" t="s">
        <v>190</v>
      </c>
      <c r="D372" s="28" t="s">
        <v>183</v>
      </c>
      <c r="E372" s="19" t="s">
        <v>208</v>
      </c>
      <c r="F372" s="9"/>
      <c r="G372" s="53"/>
      <c r="H372" s="37">
        <f t="shared" si="62"/>
        <v>2247.1</v>
      </c>
      <c r="I372" s="37">
        <f t="shared" si="62"/>
        <v>0</v>
      </c>
      <c r="J372" s="37">
        <f t="shared" si="62"/>
        <v>2213.2</v>
      </c>
      <c r="K372" s="246"/>
      <c r="L372" s="321"/>
      <c r="M372" s="246"/>
    </row>
    <row r="373" spans="1:13" ht="15.75">
      <c r="A373" s="8" t="s">
        <v>168</v>
      </c>
      <c r="B373" s="42" t="s">
        <v>85</v>
      </c>
      <c r="C373" s="17" t="s">
        <v>190</v>
      </c>
      <c r="D373" s="28" t="s">
        <v>183</v>
      </c>
      <c r="E373" s="19" t="s">
        <v>208</v>
      </c>
      <c r="F373" s="9"/>
      <c r="G373" s="76" t="s">
        <v>84</v>
      </c>
      <c r="H373" s="37">
        <v>2247.1</v>
      </c>
      <c r="I373" s="157"/>
      <c r="J373" s="246">
        <v>2213.2</v>
      </c>
      <c r="K373" s="246"/>
      <c r="L373" s="321"/>
      <c r="M373" s="246"/>
    </row>
    <row r="374" spans="1:13" ht="15.75">
      <c r="A374" s="24" t="s">
        <v>29</v>
      </c>
      <c r="B374" s="41" t="s">
        <v>85</v>
      </c>
      <c r="C374" s="21" t="s">
        <v>190</v>
      </c>
      <c r="D374" s="29" t="s">
        <v>190</v>
      </c>
      <c r="E374" s="17"/>
      <c r="F374" s="29"/>
      <c r="G374" s="76"/>
      <c r="H374" s="37">
        <f>H375+H380+H383</f>
        <v>4404.2</v>
      </c>
      <c r="I374" s="37">
        <f>I375+I380+I383</f>
        <v>0</v>
      </c>
      <c r="J374" s="37">
        <f>J375+J380+J383</f>
        <v>3987.7</v>
      </c>
      <c r="K374" s="246"/>
      <c r="L374" s="307">
        <f>J374/H374*100</f>
        <v>90.54311793288224</v>
      </c>
      <c r="M374" s="306"/>
    </row>
    <row r="375" spans="1:13" ht="15.75">
      <c r="A375" s="24" t="s">
        <v>90</v>
      </c>
      <c r="B375" s="41" t="s">
        <v>85</v>
      </c>
      <c r="C375" s="21" t="s">
        <v>190</v>
      </c>
      <c r="D375" s="29" t="s">
        <v>190</v>
      </c>
      <c r="E375" s="17" t="s">
        <v>91</v>
      </c>
      <c r="F375" s="29"/>
      <c r="G375" s="76"/>
      <c r="H375" s="37">
        <f>H376+H379</f>
        <v>3460.3999999999996</v>
      </c>
      <c r="I375" s="37">
        <f>I376</f>
        <v>0</v>
      </c>
      <c r="J375" s="37">
        <f>J376+J379</f>
        <v>3044.2999999999997</v>
      </c>
      <c r="K375" s="246"/>
      <c r="L375" s="321"/>
      <c r="M375" s="246"/>
    </row>
    <row r="376" spans="1:13" ht="15.75">
      <c r="A376" s="25" t="s">
        <v>92</v>
      </c>
      <c r="B376" s="41" t="s">
        <v>85</v>
      </c>
      <c r="C376" s="21" t="s">
        <v>190</v>
      </c>
      <c r="D376" s="29" t="s">
        <v>190</v>
      </c>
      <c r="E376" s="17" t="s">
        <v>210</v>
      </c>
      <c r="F376" s="29"/>
      <c r="G376" s="101"/>
      <c r="H376" s="37">
        <f>H377</f>
        <v>147.7</v>
      </c>
      <c r="I376" s="37">
        <f>I377</f>
        <v>0</v>
      </c>
      <c r="J376" s="37">
        <f>J377</f>
        <v>86.1</v>
      </c>
      <c r="K376" s="246"/>
      <c r="L376" s="321"/>
      <c r="M376" s="246"/>
    </row>
    <row r="377" spans="1:13" ht="15.75">
      <c r="A377" s="8" t="s">
        <v>168</v>
      </c>
      <c r="B377" s="41" t="s">
        <v>85</v>
      </c>
      <c r="C377" s="21" t="s">
        <v>190</v>
      </c>
      <c r="D377" s="29" t="s">
        <v>190</v>
      </c>
      <c r="E377" s="17" t="s">
        <v>210</v>
      </c>
      <c r="F377" s="29" t="s">
        <v>15</v>
      </c>
      <c r="G377" s="76" t="s">
        <v>84</v>
      </c>
      <c r="H377" s="37">
        <v>147.7</v>
      </c>
      <c r="I377" s="157"/>
      <c r="J377" s="246">
        <v>86.1</v>
      </c>
      <c r="K377" s="246"/>
      <c r="L377" s="321"/>
      <c r="M377" s="246"/>
    </row>
    <row r="378" spans="1:13" ht="15.75">
      <c r="A378" s="25" t="s">
        <v>27</v>
      </c>
      <c r="B378" s="41" t="s">
        <v>85</v>
      </c>
      <c r="C378" s="21" t="s">
        <v>190</v>
      </c>
      <c r="D378" s="29" t="s">
        <v>190</v>
      </c>
      <c r="E378" s="19" t="s">
        <v>436</v>
      </c>
      <c r="F378" s="9"/>
      <c r="G378" s="76"/>
      <c r="H378" s="37">
        <f>H379</f>
        <v>3312.7</v>
      </c>
      <c r="I378" s="157"/>
      <c r="J378" s="37">
        <f>J379</f>
        <v>2958.2</v>
      </c>
      <c r="K378" s="246"/>
      <c r="L378" s="321"/>
      <c r="M378" s="246"/>
    </row>
    <row r="379" spans="1:13" ht="15.75">
      <c r="A379" s="8" t="s">
        <v>168</v>
      </c>
      <c r="B379" s="41" t="s">
        <v>85</v>
      </c>
      <c r="C379" s="21" t="s">
        <v>190</v>
      </c>
      <c r="D379" s="29" t="s">
        <v>190</v>
      </c>
      <c r="E379" s="19" t="s">
        <v>436</v>
      </c>
      <c r="F379" s="9"/>
      <c r="G379" s="76" t="s">
        <v>84</v>
      </c>
      <c r="H379" s="37">
        <v>3312.7</v>
      </c>
      <c r="I379" s="157"/>
      <c r="J379" s="246">
        <v>2958.2</v>
      </c>
      <c r="K379" s="246"/>
      <c r="L379" s="321"/>
      <c r="M379" s="246"/>
    </row>
    <row r="380" spans="1:13" ht="15.75">
      <c r="A380" s="45" t="s">
        <v>211</v>
      </c>
      <c r="B380" s="42" t="s">
        <v>85</v>
      </c>
      <c r="C380" s="21" t="s">
        <v>190</v>
      </c>
      <c r="D380" s="30" t="s">
        <v>190</v>
      </c>
      <c r="E380" s="19" t="s">
        <v>30</v>
      </c>
      <c r="F380" s="9"/>
      <c r="G380" s="76"/>
      <c r="H380" s="37">
        <f aca="true" t="shared" si="63" ref="H380:J381">H381</f>
        <v>548.4</v>
      </c>
      <c r="I380" s="37">
        <f t="shared" si="63"/>
        <v>0</v>
      </c>
      <c r="J380" s="37">
        <f t="shared" si="63"/>
        <v>548</v>
      </c>
      <c r="K380" s="246"/>
      <c r="L380" s="321"/>
      <c r="M380" s="246"/>
    </row>
    <row r="381" spans="1:13" ht="15.75">
      <c r="A381" s="25" t="s">
        <v>246</v>
      </c>
      <c r="B381" s="42" t="s">
        <v>85</v>
      </c>
      <c r="C381" s="21" t="s">
        <v>190</v>
      </c>
      <c r="D381" s="30" t="s">
        <v>190</v>
      </c>
      <c r="E381" s="19" t="s">
        <v>213</v>
      </c>
      <c r="F381" s="9"/>
      <c r="G381" s="52"/>
      <c r="H381" s="37">
        <f t="shared" si="63"/>
        <v>548.4</v>
      </c>
      <c r="I381" s="37">
        <f t="shared" si="63"/>
        <v>0</v>
      </c>
      <c r="J381" s="37">
        <f t="shared" si="63"/>
        <v>548</v>
      </c>
      <c r="K381" s="246"/>
      <c r="L381" s="321"/>
      <c r="M381" s="246"/>
    </row>
    <row r="382" spans="1:13" ht="15.75">
      <c r="A382" s="8" t="s">
        <v>168</v>
      </c>
      <c r="B382" s="42" t="s">
        <v>85</v>
      </c>
      <c r="C382" s="21" t="s">
        <v>190</v>
      </c>
      <c r="D382" s="30" t="s">
        <v>190</v>
      </c>
      <c r="E382" s="19" t="s">
        <v>213</v>
      </c>
      <c r="F382" s="9"/>
      <c r="G382" s="76" t="s">
        <v>84</v>
      </c>
      <c r="H382" s="37">
        <f>500+30+18.4</f>
        <v>548.4</v>
      </c>
      <c r="I382" s="157"/>
      <c r="J382" s="63">
        <v>548</v>
      </c>
      <c r="K382" s="246"/>
      <c r="L382" s="321"/>
      <c r="M382" s="246"/>
    </row>
    <row r="383" spans="1:13" ht="15.75">
      <c r="A383" s="24" t="s">
        <v>127</v>
      </c>
      <c r="B383" s="42" t="s">
        <v>85</v>
      </c>
      <c r="C383" s="21" t="s">
        <v>190</v>
      </c>
      <c r="D383" s="30" t="s">
        <v>190</v>
      </c>
      <c r="E383" s="19" t="s">
        <v>128</v>
      </c>
      <c r="F383" s="9"/>
      <c r="G383" s="101"/>
      <c r="H383" s="37">
        <f aca="true" t="shared" si="64" ref="H383:J384">H384</f>
        <v>395.4000000000001</v>
      </c>
      <c r="I383" s="37">
        <f t="shared" si="64"/>
        <v>0</v>
      </c>
      <c r="J383" s="37">
        <f t="shared" si="64"/>
        <v>395.4</v>
      </c>
      <c r="K383" s="246"/>
      <c r="L383" s="321"/>
      <c r="M383" s="246"/>
    </row>
    <row r="384" spans="1:13" ht="26.25">
      <c r="A384" s="97" t="s">
        <v>247</v>
      </c>
      <c r="B384" s="42" t="s">
        <v>85</v>
      </c>
      <c r="C384" s="21" t="s">
        <v>190</v>
      </c>
      <c r="D384" s="30" t="s">
        <v>190</v>
      </c>
      <c r="E384" s="19" t="s">
        <v>248</v>
      </c>
      <c r="F384" s="9"/>
      <c r="G384" s="101"/>
      <c r="H384" s="37">
        <f t="shared" si="64"/>
        <v>395.4000000000001</v>
      </c>
      <c r="I384" s="37">
        <f t="shared" si="64"/>
        <v>0</v>
      </c>
      <c r="J384" s="37">
        <f t="shared" si="64"/>
        <v>395.4</v>
      </c>
      <c r="K384" s="246"/>
      <c r="L384" s="321"/>
      <c r="M384" s="246"/>
    </row>
    <row r="385" spans="1:13" ht="15.75">
      <c r="A385" s="26" t="s">
        <v>142</v>
      </c>
      <c r="B385" s="42" t="s">
        <v>85</v>
      </c>
      <c r="C385" s="21" t="s">
        <v>190</v>
      </c>
      <c r="D385" s="30" t="s">
        <v>190</v>
      </c>
      <c r="E385" s="19" t="s">
        <v>217</v>
      </c>
      <c r="F385" s="9"/>
      <c r="G385" s="101" t="s">
        <v>266</v>
      </c>
      <c r="H385" s="37">
        <f>1295.4-500-400</f>
        <v>395.4000000000001</v>
      </c>
      <c r="I385" s="157"/>
      <c r="J385" s="246">
        <v>395.4</v>
      </c>
      <c r="K385" s="246"/>
      <c r="L385" s="321"/>
      <c r="M385" s="246"/>
    </row>
    <row r="386" spans="1:13" ht="15.75">
      <c r="A386" s="106" t="s">
        <v>249</v>
      </c>
      <c r="B386" s="94" t="s">
        <v>85</v>
      </c>
      <c r="C386" s="91" t="s">
        <v>188</v>
      </c>
      <c r="D386" s="103" t="s">
        <v>123</v>
      </c>
      <c r="E386" s="91"/>
      <c r="F386" s="89"/>
      <c r="G386" s="86"/>
      <c r="H386" s="75">
        <f>H387+H397</f>
        <v>20914.9</v>
      </c>
      <c r="I386" s="75">
        <f>I387+I397</f>
        <v>0</v>
      </c>
      <c r="J386" s="75">
        <f>J387+J397</f>
        <v>19314.800000000003</v>
      </c>
      <c r="K386" s="246"/>
      <c r="L386" s="307">
        <f>J386/H386*100</f>
        <v>92.34947334197152</v>
      </c>
      <c r="M386" s="306"/>
    </row>
    <row r="387" spans="1:13" ht="15.75">
      <c r="A387" s="102" t="s">
        <v>226</v>
      </c>
      <c r="B387" s="93" t="s">
        <v>85</v>
      </c>
      <c r="C387" s="16" t="s">
        <v>188</v>
      </c>
      <c r="D387" s="31" t="s">
        <v>191</v>
      </c>
      <c r="E387" s="16"/>
      <c r="F387" s="31"/>
      <c r="G387" s="113"/>
      <c r="H387" s="79">
        <f>H391+H394+H388</f>
        <v>11489.800000000001</v>
      </c>
      <c r="I387" s="79">
        <f>I391+I394</f>
        <v>0</v>
      </c>
      <c r="J387" s="79">
        <f>J391+J394+J388</f>
        <v>10014.900000000001</v>
      </c>
      <c r="K387" s="246"/>
      <c r="L387" s="321"/>
      <c r="M387" s="246"/>
    </row>
    <row r="388" spans="1:13" ht="15.75">
      <c r="A388" s="173" t="s">
        <v>388</v>
      </c>
      <c r="B388" s="41" t="s">
        <v>85</v>
      </c>
      <c r="C388" s="41" t="s">
        <v>188</v>
      </c>
      <c r="D388" s="17" t="s">
        <v>191</v>
      </c>
      <c r="E388" s="17" t="s">
        <v>389</v>
      </c>
      <c r="F388" s="29"/>
      <c r="G388" s="76"/>
      <c r="H388" s="200">
        <f>H389</f>
        <v>580.2</v>
      </c>
      <c r="I388" s="79"/>
      <c r="J388" s="200">
        <f>J389</f>
        <v>184.7</v>
      </c>
      <c r="K388" s="246"/>
      <c r="L388" s="321"/>
      <c r="M388" s="246"/>
    </row>
    <row r="389" spans="1:13" ht="15.75">
      <c r="A389" s="173" t="s">
        <v>392</v>
      </c>
      <c r="B389" s="41" t="s">
        <v>85</v>
      </c>
      <c r="C389" s="41" t="s">
        <v>188</v>
      </c>
      <c r="D389" s="17" t="s">
        <v>191</v>
      </c>
      <c r="E389" s="17" t="s">
        <v>391</v>
      </c>
      <c r="F389" s="7"/>
      <c r="G389" s="52"/>
      <c r="H389" s="200">
        <f>H390</f>
        <v>580.2</v>
      </c>
      <c r="I389" s="79"/>
      <c r="J389" s="200">
        <f>J390</f>
        <v>184.7</v>
      </c>
      <c r="K389" s="246"/>
      <c r="L389" s="321"/>
      <c r="M389" s="246"/>
    </row>
    <row r="390" spans="1:13" ht="15.75">
      <c r="A390" s="158" t="s">
        <v>168</v>
      </c>
      <c r="B390" s="41" t="s">
        <v>85</v>
      </c>
      <c r="C390" s="41" t="s">
        <v>188</v>
      </c>
      <c r="D390" s="17" t="s">
        <v>191</v>
      </c>
      <c r="E390" s="17" t="s">
        <v>391</v>
      </c>
      <c r="F390" s="29"/>
      <c r="G390" s="76" t="s">
        <v>84</v>
      </c>
      <c r="H390" s="200">
        <f>35.2+500+45</f>
        <v>580.2</v>
      </c>
      <c r="I390" s="79"/>
      <c r="J390" s="246">
        <v>184.7</v>
      </c>
      <c r="K390" s="246"/>
      <c r="L390" s="321"/>
      <c r="M390" s="246"/>
    </row>
    <row r="391" spans="1:13" ht="15.75">
      <c r="A391" s="24" t="s">
        <v>76</v>
      </c>
      <c r="B391" s="41" t="s">
        <v>85</v>
      </c>
      <c r="C391" s="17" t="s">
        <v>188</v>
      </c>
      <c r="D391" s="29" t="s">
        <v>191</v>
      </c>
      <c r="E391" s="17" t="s">
        <v>77</v>
      </c>
      <c r="F391" s="29"/>
      <c r="G391" s="76"/>
      <c r="H391" s="37">
        <f aca="true" t="shared" si="65" ref="H391:J392">H392</f>
        <v>8875.7</v>
      </c>
      <c r="I391" s="37">
        <f t="shared" si="65"/>
        <v>0</v>
      </c>
      <c r="J391" s="37">
        <f t="shared" si="65"/>
        <v>8129.5</v>
      </c>
      <c r="K391" s="246"/>
      <c r="L391" s="321"/>
      <c r="M391" s="246"/>
    </row>
    <row r="392" spans="1:13" ht="15.75">
      <c r="A392" s="25" t="s">
        <v>27</v>
      </c>
      <c r="B392" s="41" t="s">
        <v>85</v>
      </c>
      <c r="C392" s="17" t="s">
        <v>188</v>
      </c>
      <c r="D392" s="29" t="s">
        <v>191</v>
      </c>
      <c r="E392" s="17" t="s">
        <v>227</v>
      </c>
      <c r="F392" s="29"/>
      <c r="G392" s="52"/>
      <c r="H392" s="37">
        <f t="shared" si="65"/>
        <v>8875.7</v>
      </c>
      <c r="I392" s="37">
        <f t="shared" si="65"/>
        <v>0</v>
      </c>
      <c r="J392" s="37">
        <f t="shared" si="65"/>
        <v>8129.5</v>
      </c>
      <c r="K392" s="246"/>
      <c r="L392" s="321"/>
      <c r="M392" s="246"/>
    </row>
    <row r="393" spans="1:13" ht="15.75">
      <c r="A393" s="8" t="s">
        <v>168</v>
      </c>
      <c r="B393" s="41" t="s">
        <v>85</v>
      </c>
      <c r="C393" s="17" t="s">
        <v>188</v>
      </c>
      <c r="D393" s="29" t="s">
        <v>191</v>
      </c>
      <c r="E393" s="17" t="s">
        <v>227</v>
      </c>
      <c r="F393" s="29"/>
      <c r="G393" s="76" t="s">
        <v>84</v>
      </c>
      <c r="H393" s="37">
        <v>8875.7</v>
      </c>
      <c r="I393" s="157"/>
      <c r="J393" s="246">
        <v>8129.5</v>
      </c>
      <c r="K393" s="246"/>
      <c r="L393" s="321"/>
      <c r="M393" s="246"/>
    </row>
    <row r="394" spans="1:13" ht="13.5" customHeight="1">
      <c r="A394" s="24" t="s">
        <v>127</v>
      </c>
      <c r="B394" s="41" t="s">
        <v>85</v>
      </c>
      <c r="C394" s="17" t="s">
        <v>188</v>
      </c>
      <c r="D394" s="29" t="s">
        <v>191</v>
      </c>
      <c r="E394" s="17" t="s">
        <v>128</v>
      </c>
      <c r="F394" s="29"/>
      <c r="G394" s="76"/>
      <c r="H394" s="37">
        <f aca="true" t="shared" si="66" ref="H394:J395">H395</f>
        <v>2033.9</v>
      </c>
      <c r="I394" s="37">
        <f t="shared" si="66"/>
        <v>0</v>
      </c>
      <c r="J394" s="37">
        <f t="shared" si="66"/>
        <v>1700.7</v>
      </c>
      <c r="K394" s="246"/>
      <c r="L394" s="321"/>
      <c r="M394" s="246"/>
    </row>
    <row r="395" spans="1:13" s="22" customFormat="1" ht="26.25">
      <c r="A395" s="97" t="s">
        <v>341</v>
      </c>
      <c r="B395" s="41" t="s">
        <v>85</v>
      </c>
      <c r="C395" s="17" t="s">
        <v>188</v>
      </c>
      <c r="D395" s="29" t="s">
        <v>191</v>
      </c>
      <c r="E395" s="17" t="s">
        <v>250</v>
      </c>
      <c r="F395" s="29"/>
      <c r="G395" s="76"/>
      <c r="H395" s="37">
        <f t="shared" si="66"/>
        <v>2033.9</v>
      </c>
      <c r="I395" s="37">
        <f t="shared" si="66"/>
        <v>0</v>
      </c>
      <c r="J395" s="37">
        <f t="shared" si="66"/>
        <v>1700.7</v>
      </c>
      <c r="K395" s="254"/>
      <c r="L395" s="106"/>
      <c r="M395" s="254"/>
    </row>
    <row r="396" spans="1:13" ht="15.75">
      <c r="A396" s="26" t="s">
        <v>142</v>
      </c>
      <c r="B396" s="41" t="s">
        <v>85</v>
      </c>
      <c r="C396" s="17" t="s">
        <v>188</v>
      </c>
      <c r="D396" s="29" t="s">
        <v>191</v>
      </c>
      <c r="E396" s="17" t="s">
        <v>250</v>
      </c>
      <c r="F396" s="29"/>
      <c r="G396" s="76" t="s">
        <v>266</v>
      </c>
      <c r="H396" s="37">
        <f>3469+64.9-2000+500</f>
        <v>2033.9</v>
      </c>
      <c r="I396" s="157"/>
      <c r="J396" s="246">
        <v>1700.7</v>
      </c>
      <c r="K396" s="246"/>
      <c r="L396" s="321"/>
      <c r="M396" s="246"/>
    </row>
    <row r="397" spans="1:13" ht="15.75">
      <c r="A397" s="106" t="s">
        <v>45</v>
      </c>
      <c r="B397" s="94" t="s">
        <v>85</v>
      </c>
      <c r="C397" s="91" t="s">
        <v>188</v>
      </c>
      <c r="D397" s="103" t="s">
        <v>189</v>
      </c>
      <c r="E397" s="91"/>
      <c r="F397" s="103"/>
      <c r="G397" s="111"/>
      <c r="H397" s="75">
        <f aca="true" t="shared" si="67" ref="H397:J399">H398</f>
        <v>9425.1</v>
      </c>
      <c r="I397" s="75">
        <f t="shared" si="67"/>
        <v>0</v>
      </c>
      <c r="J397" s="75">
        <f t="shared" si="67"/>
        <v>9299.9</v>
      </c>
      <c r="K397" s="246"/>
      <c r="L397" s="307">
        <f>J397/H397*100</f>
        <v>98.67163213122406</v>
      </c>
      <c r="M397" s="306"/>
    </row>
    <row r="398" spans="1:13" ht="15.75">
      <c r="A398" s="45" t="s">
        <v>143</v>
      </c>
      <c r="B398" s="41" t="s">
        <v>85</v>
      </c>
      <c r="C398" s="17" t="s">
        <v>188</v>
      </c>
      <c r="D398" s="29" t="s">
        <v>189</v>
      </c>
      <c r="E398" s="17" t="s">
        <v>265</v>
      </c>
      <c r="F398" s="29"/>
      <c r="G398" s="76"/>
      <c r="H398" s="37">
        <f t="shared" si="67"/>
        <v>9425.1</v>
      </c>
      <c r="I398" s="37">
        <f t="shared" si="67"/>
        <v>0</v>
      </c>
      <c r="J398" s="37">
        <f t="shared" si="67"/>
        <v>9299.9</v>
      </c>
      <c r="K398" s="246"/>
      <c r="L398" s="321"/>
      <c r="M398" s="246"/>
    </row>
    <row r="399" spans="1:13" ht="15.75">
      <c r="A399" s="26" t="s">
        <v>50</v>
      </c>
      <c r="B399" s="41" t="s">
        <v>85</v>
      </c>
      <c r="C399" s="17" t="s">
        <v>188</v>
      </c>
      <c r="D399" s="29" t="s">
        <v>189</v>
      </c>
      <c r="E399" s="17" t="s">
        <v>267</v>
      </c>
      <c r="F399" s="7"/>
      <c r="G399" s="76"/>
      <c r="H399" s="37">
        <f t="shared" si="67"/>
        <v>9425.1</v>
      </c>
      <c r="I399" s="37">
        <f t="shared" si="67"/>
        <v>0</v>
      </c>
      <c r="J399" s="37">
        <f t="shared" si="67"/>
        <v>9299.9</v>
      </c>
      <c r="K399" s="246"/>
      <c r="L399" s="321"/>
      <c r="M399" s="246"/>
    </row>
    <row r="400" spans="1:13" ht="16.5" thickBot="1">
      <c r="A400" s="26" t="s">
        <v>142</v>
      </c>
      <c r="B400" s="42" t="s">
        <v>85</v>
      </c>
      <c r="C400" s="19" t="s">
        <v>188</v>
      </c>
      <c r="D400" s="30" t="s">
        <v>189</v>
      </c>
      <c r="E400" s="19" t="s">
        <v>267</v>
      </c>
      <c r="F400" s="5"/>
      <c r="G400" s="48" t="s">
        <v>266</v>
      </c>
      <c r="H400" s="35">
        <v>9425.1</v>
      </c>
      <c r="I400" s="310"/>
      <c r="J400" s="248">
        <v>9299.9</v>
      </c>
      <c r="K400" s="248"/>
      <c r="L400" s="180"/>
      <c r="M400" s="248"/>
    </row>
    <row r="401" spans="1:13" ht="38.25" thickBot="1">
      <c r="A401" s="72" t="s">
        <v>119</v>
      </c>
      <c r="B401" s="27" t="s">
        <v>86</v>
      </c>
      <c r="C401" s="20"/>
      <c r="D401" s="12"/>
      <c r="E401" s="20"/>
      <c r="F401" s="12"/>
      <c r="G401" s="50"/>
      <c r="H401" s="130">
        <f>H402+H410+H420</f>
        <v>49379.2</v>
      </c>
      <c r="I401" s="130">
        <f>I402+I410+I420</f>
        <v>5862</v>
      </c>
      <c r="J401" s="130">
        <f>J402+J410+J420</f>
        <v>32795.8</v>
      </c>
      <c r="K401" s="130">
        <f>K402+K410+K420</f>
        <v>3092.4</v>
      </c>
      <c r="L401" s="243">
        <f>J401/H401*100</f>
        <v>66.41622383513706</v>
      </c>
      <c r="M401" s="154">
        <f>K401/I401*100</f>
        <v>52.75332650972364</v>
      </c>
    </row>
    <row r="402" spans="1:13" s="22" customFormat="1" ht="15.75">
      <c r="A402" s="102" t="s">
        <v>17</v>
      </c>
      <c r="B402" s="16" t="s">
        <v>86</v>
      </c>
      <c r="C402" s="31" t="s">
        <v>182</v>
      </c>
      <c r="D402" s="16" t="s">
        <v>123</v>
      </c>
      <c r="E402" s="316"/>
      <c r="F402" s="31"/>
      <c r="G402" s="113"/>
      <c r="H402" s="79">
        <f>H403</f>
        <v>37069.7</v>
      </c>
      <c r="I402" s="79">
        <f>I403</f>
        <v>0</v>
      </c>
      <c r="J402" s="241">
        <f>J403</f>
        <v>28298.2</v>
      </c>
      <c r="K402" s="178"/>
      <c r="L402" s="325">
        <f>J402/H402*100</f>
        <v>76.33781767858926</v>
      </c>
      <c r="M402" s="262"/>
    </row>
    <row r="403" spans="1:13" ht="15.75">
      <c r="A403" s="26" t="s">
        <v>78</v>
      </c>
      <c r="B403" s="21" t="s">
        <v>86</v>
      </c>
      <c r="C403" s="28" t="s">
        <v>182</v>
      </c>
      <c r="D403" s="21" t="s">
        <v>186</v>
      </c>
      <c r="E403" s="312"/>
      <c r="F403" s="28"/>
      <c r="G403" s="85"/>
      <c r="H403" s="36">
        <f>H404+H407</f>
        <v>37069.7</v>
      </c>
      <c r="I403" s="36">
        <f>I404+I407</f>
        <v>0</v>
      </c>
      <c r="J403" s="239">
        <f>J404+J407</f>
        <v>28298.2</v>
      </c>
      <c r="K403" s="246"/>
      <c r="L403" s="307">
        <f>J403/H403*100</f>
        <v>76.33781767858926</v>
      </c>
      <c r="M403" s="306"/>
    </row>
    <row r="404" spans="1:13" ht="39">
      <c r="A404" s="60" t="s">
        <v>286</v>
      </c>
      <c r="B404" s="17" t="s">
        <v>86</v>
      </c>
      <c r="C404" s="29" t="s">
        <v>182</v>
      </c>
      <c r="D404" s="17" t="s">
        <v>186</v>
      </c>
      <c r="E404" s="313" t="s">
        <v>265</v>
      </c>
      <c r="F404" s="29"/>
      <c r="G404" s="76"/>
      <c r="H404" s="37">
        <f>H405</f>
        <v>13565.3</v>
      </c>
      <c r="I404" s="37">
        <f>I405</f>
        <v>0</v>
      </c>
      <c r="J404" s="282">
        <f>J405</f>
        <v>13015</v>
      </c>
      <c r="K404" s="246"/>
      <c r="L404" s="255"/>
      <c r="M404" s="246"/>
    </row>
    <row r="405" spans="1:13" ht="15.75">
      <c r="A405" s="8" t="s">
        <v>50</v>
      </c>
      <c r="B405" s="19" t="s">
        <v>86</v>
      </c>
      <c r="C405" s="30" t="s">
        <v>182</v>
      </c>
      <c r="D405" s="19" t="s">
        <v>186</v>
      </c>
      <c r="E405" s="314" t="s">
        <v>267</v>
      </c>
      <c r="F405" s="30"/>
      <c r="G405" s="177"/>
      <c r="H405" s="35">
        <f>H406</f>
        <v>13565.3</v>
      </c>
      <c r="I405" s="310"/>
      <c r="J405" s="282">
        <f>J406</f>
        <v>13015</v>
      </c>
      <c r="K405" s="246"/>
      <c r="L405" s="255"/>
      <c r="M405" s="246"/>
    </row>
    <row r="406" spans="1:13" ht="15.75">
      <c r="A406" s="26" t="s">
        <v>142</v>
      </c>
      <c r="B406" s="19" t="s">
        <v>86</v>
      </c>
      <c r="C406" s="30" t="s">
        <v>182</v>
      </c>
      <c r="D406" s="19" t="s">
        <v>186</v>
      </c>
      <c r="E406" s="314" t="s">
        <v>267</v>
      </c>
      <c r="F406" s="30"/>
      <c r="G406" s="177" t="s">
        <v>266</v>
      </c>
      <c r="H406" s="35">
        <f>21789.8-629-1000-1194.8-1045.7-4355</f>
        <v>13565.3</v>
      </c>
      <c r="I406" s="310"/>
      <c r="J406" s="282">
        <v>13015</v>
      </c>
      <c r="K406" s="246"/>
      <c r="L406" s="255"/>
      <c r="M406" s="246"/>
    </row>
    <row r="407" spans="1:13" ht="26.25">
      <c r="A407" s="45" t="s">
        <v>200</v>
      </c>
      <c r="B407" s="17" t="s">
        <v>86</v>
      </c>
      <c r="C407" s="29" t="s">
        <v>182</v>
      </c>
      <c r="D407" s="17" t="s">
        <v>186</v>
      </c>
      <c r="E407" s="313" t="s">
        <v>134</v>
      </c>
      <c r="F407" s="29"/>
      <c r="G407" s="76"/>
      <c r="H407" s="37">
        <f aca="true" t="shared" si="68" ref="H407:J408">H408</f>
        <v>23504.4</v>
      </c>
      <c r="I407" s="37">
        <f t="shared" si="68"/>
        <v>0</v>
      </c>
      <c r="J407" s="240">
        <f t="shared" si="68"/>
        <v>15283.2</v>
      </c>
      <c r="K407" s="246"/>
      <c r="L407" s="255"/>
      <c r="M407" s="246"/>
    </row>
    <row r="408" spans="1:13" ht="15.75">
      <c r="A408" s="81" t="s">
        <v>75</v>
      </c>
      <c r="B408" s="17" t="s">
        <v>86</v>
      </c>
      <c r="C408" s="29" t="s">
        <v>182</v>
      </c>
      <c r="D408" s="17" t="s">
        <v>186</v>
      </c>
      <c r="E408" s="313" t="s">
        <v>199</v>
      </c>
      <c r="F408" s="29"/>
      <c r="G408" s="76"/>
      <c r="H408" s="37">
        <f t="shared" si="68"/>
        <v>23504.4</v>
      </c>
      <c r="I408" s="37">
        <f t="shared" si="68"/>
        <v>0</v>
      </c>
      <c r="J408" s="240">
        <f t="shared" si="68"/>
        <v>15283.2</v>
      </c>
      <c r="K408" s="246"/>
      <c r="L408" s="255"/>
      <c r="M408" s="246"/>
    </row>
    <row r="409" spans="1:13" ht="15.75">
      <c r="A409" s="8" t="s">
        <v>142</v>
      </c>
      <c r="B409" s="19" t="s">
        <v>86</v>
      </c>
      <c r="C409" s="30" t="s">
        <v>182</v>
      </c>
      <c r="D409" s="19" t="s">
        <v>186</v>
      </c>
      <c r="E409" s="314" t="s">
        <v>199</v>
      </c>
      <c r="F409" s="30" t="s">
        <v>49</v>
      </c>
      <c r="G409" s="76" t="s">
        <v>266</v>
      </c>
      <c r="H409" s="37">
        <f>2000+25925-484+1463.4-2000-1354.8-1895.2-150</f>
        <v>23504.4</v>
      </c>
      <c r="I409" s="157"/>
      <c r="J409" s="255">
        <v>15283.2</v>
      </c>
      <c r="K409" s="246"/>
      <c r="L409" s="255"/>
      <c r="M409" s="246"/>
    </row>
    <row r="410" spans="1:13" ht="15.75">
      <c r="A410" s="106" t="s">
        <v>23</v>
      </c>
      <c r="B410" s="91" t="s">
        <v>86</v>
      </c>
      <c r="C410" s="103" t="s">
        <v>196</v>
      </c>
      <c r="D410" s="91" t="s">
        <v>123</v>
      </c>
      <c r="E410" s="315"/>
      <c r="F410" s="103"/>
      <c r="G410" s="111"/>
      <c r="H410" s="75">
        <f>H411+H415</f>
        <v>1543.5</v>
      </c>
      <c r="I410" s="75">
        <f>I411</f>
        <v>0</v>
      </c>
      <c r="J410" s="238">
        <f>J411+J415</f>
        <v>1405.2</v>
      </c>
      <c r="K410" s="246"/>
      <c r="L410" s="307">
        <f>J410/H410*100</f>
        <v>91.03984450923227</v>
      </c>
      <c r="M410" s="306"/>
    </row>
    <row r="411" spans="1:13" ht="15.75">
      <c r="A411" s="26" t="s">
        <v>68</v>
      </c>
      <c r="B411" s="21" t="s">
        <v>86</v>
      </c>
      <c r="C411" s="28" t="s">
        <v>196</v>
      </c>
      <c r="D411" s="21" t="s">
        <v>182</v>
      </c>
      <c r="E411" s="312"/>
      <c r="F411" s="28"/>
      <c r="G411" s="85"/>
      <c r="H411" s="36">
        <f>H412</f>
        <v>1343.5</v>
      </c>
      <c r="I411" s="36">
        <f>I412</f>
        <v>0</v>
      </c>
      <c r="J411" s="239">
        <f>J412</f>
        <v>1232.3</v>
      </c>
      <c r="K411" s="246"/>
      <c r="L411" s="255"/>
      <c r="M411" s="246"/>
    </row>
    <row r="412" spans="1:13" ht="15.75">
      <c r="A412" s="24" t="s">
        <v>24</v>
      </c>
      <c r="B412" s="17" t="s">
        <v>86</v>
      </c>
      <c r="C412" s="29" t="s">
        <v>196</v>
      </c>
      <c r="D412" s="17" t="s">
        <v>182</v>
      </c>
      <c r="E412" s="313" t="s">
        <v>25</v>
      </c>
      <c r="F412" s="29"/>
      <c r="G412" s="76"/>
      <c r="H412" s="37">
        <f>H413</f>
        <v>1343.5</v>
      </c>
      <c r="I412" s="37"/>
      <c r="J412" s="240">
        <f>J413</f>
        <v>1232.3</v>
      </c>
      <c r="K412" s="246"/>
      <c r="L412" s="255"/>
      <c r="M412" s="246"/>
    </row>
    <row r="413" spans="1:13" ht="15.75">
      <c r="A413" s="45" t="s">
        <v>197</v>
      </c>
      <c r="B413" s="17" t="s">
        <v>86</v>
      </c>
      <c r="C413" s="29" t="s">
        <v>196</v>
      </c>
      <c r="D413" s="17" t="s">
        <v>182</v>
      </c>
      <c r="E413" s="313" t="s">
        <v>198</v>
      </c>
      <c r="F413" s="29"/>
      <c r="G413" s="76"/>
      <c r="H413" s="37">
        <f>H414</f>
        <v>1343.5</v>
      </c>
      <c r="I413" s="37"/>
      <c r="J413" s="240">
        <f>J414</f>
        <v>1232.3</v>
      </c>
      <c r="K413" s="246"/>
      <c r="L413" s="255"/>
      <c r="M413" s="246"/>
    </row>
    <row r="414" spans="1:13" ht="19.5" customHeight="1">
      <c r="A414" s="62" t="s">
        <v>142</v>
      </c>
      <c r="B414" s="17" t="s">
        <v>86</v>
      </c>
      <c r="C414" s="29" t="s">
        <v>196</v>
      </c>
      <c r="D414" s="17" t="s">
        <v>182</v>
      </c>
      <c r="E414" s="313" t="s">
        <v>198</v>
      </c>
      <c r="F414" s="29"/>
      <c r="G414" s="76" t="s">
        <v>266</v>
      </c>
      <c r="H414" s="37">
        <f>1235.3+108.2</f>
        <v>1343.5</v>
      </c>
      <c r="I414" s="37"/>
      <c r="J414" s="255">
        <v>1232.3</v>
      </c>
      <c r="K414" s="246"/>
      <c r="L414" s="255"/>
      <c r="M414" s="246"/>
    </row>
    <row r="415" spans="1:13" ht="15.75">
      <c r="A415" s="102" t="s">
        <v>3</v>
      </c>
      <c r="B415" s="91" t="s">
        <v>86</v>
      </c>
      <c r="C415" s="103" t="s">
        <v>196</v>
      </c>
      <c r="D415" s="91" t="s">
        <v>183</v>
      </c>
      <c r="E415" s="313"/>
      <c r="F415" s="29"/>
      <c r="G415" s="76"/>
      <c r="H415" s="37">
        <f>H416</f>
        <v>200</v>
      </c>
      <c r="I415" s="37"/>
      <c r="J415" s="255">
        <f>J416</f>
        <v>172.9</v>
      </c>
      <c r="K415" s="246"/>
      <c r="L415" s="307">
        <f>J415/H415*100</f>
        <v>86.45</v>
      </c>
      <c r="M415" s="306"/>
    </row>
    <row r="416" spans="1:13" ht="15.75">
      <c r="A416" s="24" t="s">
        <v>54</v>
      </c>
      <c r="B416" s="17" t="s">
        <v>86</v>
      </c>
      <c r="C416" s="29" t="s">
        <v>196</v>
      </c>
      <c r="D416" s="17" t="s">
        <v>183</v>
      </c>
      <c r="E416" s="313" t="s">
        <v>73</v>
      </c>
      <c r="F416" s="29"/>
      <c r="G416" s="76"/>
      <c r="H416" s="37">
        <f>H417</f>
        <v>200</v>
      </c>
      <c r="I416" s="37"/>
      <c r="J416" s="255">
        <f>J417</f>
        <v>172.9</v>
      </c>
      <c r="K416" s="246"/>
      <c r="L416" s="255"/>
      <c r="M416" s="246"/>
    </row>
    <row r="417" spans="1:13" ht="15.75">
      <c r="A417" s="24" t="s">
        <v>276</v>
      </c>
      <c r="B417" s="17" t="s">
        <v>86</v>
      </c>
      <c r="C417" s="29" t="s">
        <v>196</v>
      </c>
      <c r="D417" s="17" t="s">
        <v>183</v>
      </c>
      <c r="E417" s="313" t="s">
        <v>277</v>
      </c>
      <c r="F417" s="29"/>
      <c r="G417" s="76"/>
      <c r="H417" s="37">
        <f>H418</f>
        <v>200</v>
      </c>
      <c r="I417" s="37"/>
      <c r="J417" s="255">
        <f>J418</f>
        <v>172.9</v>
      </c>
      <c r="K417" s="246"/>
      <c r="L417" s="255"/>
      <c r="M417" s="246"/>
    </row>
    <row r="418" spans="1:13" ht="15.75">
      <c r="A418" s="24" t="s">
        <v>339</v>
      </c>
      <c r="B418" s="17" t="s">
        <v>86</v>
      </c>
      <c r="C418" s="29" t="s">
        <v>196</v>
      </c>
      <c r="D418" s="17" t="s">
        <v>183</v>
      </c>
      <c r="E418" s="313" t="s">
        <v>340</v>
      </c>
      <c r="F418" s="29"/>
      <c r="G418" s="76"/>
      <c r="H418" s="37">
        <f>H419</f>
        <v>200</v>
      </c>
      <c r="I418" s="37"/>
      <c r="J418" s="255">
        <f>J419</f>
        <v>172.9</v>
      </c>
      <c r="K418" s="246"/>
      <c r="L418" s="255"/>
      <c r="M418" s="246"/>
    </row>
    <row r="419" spans="1:13" ht="15.75">
      <c r="A419" s="8" t="s">
        <v>142</v>
      </c>
      <c r="B419" s="17" t="s">
        <v>86</v>
      </c>
      <c r="C419" s="29" t="s">
        <v>196</v>
      </c>
      <c r="D419" s="17" t="s">
        <v>183</v>
      </c>
      <c r="E419" s="313" t="s">
        <v>340</v>
      </c>
      <c r="F419" s="29"/>
      <c r="G419" s="76" t="s">
        <v>266</v>
      </c>
      <c r="H419" s="37">
        <v>200</v>
      </c>
      <c r="I419" s="37"/>
      <c r="J419" s="255">
        <v>172.9</v>
      </c>
      <c r="K419" s="246"/>
      <c r="L419" s="255"/>
      <c r="M419" s="246"/>
    </row>
    <row r="420" spans="1:13" ht="15.75">
      <c r="A420" s="8" t="s">
        <v>5</v>
      </c>
      <c r="B420" s="17" t="s">
        <v>86</v>
      </c>
      <c r="C420" s="29" t="s">
        <v>189</v>
      </c>
      <c r="D420" s="17" t="s">
        <v>123</v>
      </c>
      <c r="E420" s="313"/>
      <c r="F420" s="29"/>
      <c r="G420" s="76"/>
      <c r="H420" s="37">
        <f aca="true" t="shared" si="69" ref="H420:K421">H421</f>
        <v>10766</v>
      </c>
      <c r="I420" s="37">
        <f t="shared" si="69"/>
        <v>5862</v>
      </c>
      <c r="J420" s="255">
        <f t="shared" si="69"/>
        <v>3092.4</v>
      </c>
      <c r="K420" s="246">
        <f t="shared" si="69"/>
        <v>3092.4</v>
      </c>
      <c r="L420" s="307">
        <f>J420/H420*100</f>
        <v>28.723759985138397</v>
      </c>
      <c r="M420" s="306">
        <f>K420/I420*100</f>
        <v>52.75332650972364</v>
      </c>
    </row>
    <row r="421" spans="1:13" ht="15.75">
      <c r="A421" s="8" t="s">
        <v>94</v>
      </c>
      <c r="B421" s="17" t="s">
        <v>86</v>
      </c>
      <c r="C421" s="29" t="s">
        <v>189</v>
      </c>
      <c r="D421" s="17" t="s">
        <v>187</v>
      </c>
      <c r="E421" s="313"/>
      <c r="F421" s="29"/>
      <c r="G421" s="76"/>
      <c r="H421" s="37">
        <f t="shared" si="69"/>
        <v>10766</v>
      </c>
      <c r="I421" s="37">
        <f t="shared" si="69"/>
        <v>5862</v>
      </c>
      <c r="J421" s="255">
        <f t="shared" si="69"/>
        <v>3092.4</v>
      </c>
      <c r="K421" s="246">
        <f t="shared" si="69"/>
        <v>3092.4</v>
      </c>
      <c r="L421" s="255"/>
      <c r="M421" s="246"/>
    </row>
    <row r="422" spans="1:13" ht="15.75">
      <c r="A422" s="24" t="s">
        <v>232</v>
      </c>
      <c r="B422" s="17" t="s">
        <v>86</v>
      </c>
      <c r="C422" s="29" t="s">
        <v>189</v>
      </c>
      <c r="D422" s="17" t="s">
        <v>187</v>
      </c>
      <c r="E422" s="313" t="s">
        <v>88</v>
      </c>
      <c r="F422" s="29"/>
      <c r="G422" s="76"/>
      <c r="H422" s="37">
        <f>H423+H425+H427+H428</f>
        <v>10766</v>
      </c>
      <c r="I422" s="37">
        <f>I423+I425+I427+I428</f>
        <v>5862</v>
      </c>
      <c r="J422" s="255">
        <f>J426</f>
        <v>3092.4</v>
      </c>
      <c r="K422" s="63">
        <f>K425</f>
        <v>3092.4</v>
      </c>
      <c r="L422" s="255"/>
      <c r="M422" s="246"/>
    </row>
    <row r="423" spans="1:13" ht="51.75">
      <c r="A423" s="97" t="s">
        <v>381</v>
      </c>
      <c r="B423" s="17" t="s">
        <v>86</v>
      </c>
      <c r="C423" s="29" t="s">
        <v>189</v>
      </c>
      <c r="D423" s="17" t="s">
        <v>187</v>
      </c>
      <c r="E423" s="313" t="s">
        <v>382</v>
      </c>
      <c r="F423" s="29"/>
      <c r="G423" s="76"/>
      <c r="H423" s="37">
        <f>H424</f>
        <v>4904</v>
      </c>
      <c r="I423" s="37"/>
      <c r="J423" s="255"/>
      <c r="K423" s="246"/>
      <c r="L423" s="255"/>
      <c r="M423" s="246"/>
    </row>
    <row r="424" spans="1:13" ht="15.75">
      <c r="A424" s="8" t="s">
        <v>252</v>
      </c>
      <c r="B424" s="17" t="s">
        <v>86</v>
      </c>
      <c r="C424" s="29" t="s">
        <v>189</v>
      </c>
      <c r="D424" s="17" t="s">
        <v>187</v>
      </c>
      <c r="E424" s="313" t="s">
        <v>382</v>
      </c>
      <c r="F424" s="29" t="s">
        <v>51</v>
      </c>
      <c r="G424" s="76" t="s">
        <v>51</v>
      </c>
      <c r="H424" s="37">
        <f>4904</f>
        <v>4904</v>
      </c>
      <c r="I424" s="37"/>
      <c r="J424" s="255"/>
      <c r="K424" s="246"/>
      <c r="L424" s="255"/>
      <c r="M424" s="246"/>
    </row>
    <row r="425" spans="1:13" ht="39">
      <c r="A425" s="97" t="s">
        <v>426</v>
      </c>
      <c r="B425" s="17" t="s">
        <v>86</v>
      </c>
      <c r="C425" s="29" t="s">
        <v>189</v>
      </c>
      <c r="D425" s="17" t="s">
        <v>187</v>
      </c>
      <c r="E425" s="313" t="s">
        <v>427</v>
      </c>
      <c r="F425" s="29"/>
      <c r="G425" s="76"/>
      <c r="H425" s="37">
        <f>H426</f>
        <v>3093</v>
      </c>
      <c r="I425" s="37">
        <f>I426</f>
        <v>3093</v>
      </c>
      <c r="J425" s="240">
        <f>J422</f>
        <v>3092.4</v>
      </c>
      <c r="K425" s="37">
        <f>K426</f>
        <v>3092.4</v>
      </c>
      <c r="L425" s="255"/>
      <c r="M425" s="246"/>
    </row>
    <row r="426" spans="1:13" ht="15.75">
      <c r="A426" s="8" t="s">
        <v>252</v>
      </c>
      <c r="B426" s="17" t="s">
        <v>86</v>
      </c>
      <c r="C426" s="29" t="s">
        <v>189</v>
      </c>
      <c r="D426" s="17" t="s">
        <v>187</v>
      </c>
      <c r="E426" s="313" t="s">
        <v>427</v>
      </c>
      <c r="F426" s="29"/>
      <c r="G426" s="76" t="s">
        <v>51</v>
      </c>
      <c r="H426" s="37">
        <f>21647-15462-3092</f>
        <v>3093</v>
      </c>
      <c r="I426" s="37">
        <f>21647-15462-3092</f>
        <v>3093</v>
      </c>
      <c r="J426" s="255">
        <v>3092.4</v>
      </c>
      <c r="K426" s="246">
        <v>3092.4</v>
      </c>
      <c r="L426" s="255"/>
      <c r="M426" s="246"/>
    </row>
    <row r="427" spans="1:13" ht="39">
      <c r="A427" s="97" t="s">
        <v>430</v>
      </c>
      <c r="B427" s="17" t="s">
        <v>86</v>
      </c>
      <c r="C427" s="29" t="s">
        <v>189</v>
      </c>
      <c r="D427" s="17" t="s">
        <v>187</v>
      </c>
      <c r="E427" s="313" t="s">
        <v>429</v>
      </c>
      <c r="F427" s="29"/>
      <c r="G427" s="76" t="s">
        <v>51</v>
      </c>
      <c r="H427" s="37"/>
      <c r="I427" s="37"/>
      <c r="J427" s="255"/>
      <c r="K427" s="246"/>
      <c r="L427" s="255"/>
      <c r="M427" s="246"/>
    </row>
    <row r="428" spans="1:13" ht="26.25">
      <c r="A428" s="97" t="s">
        <v>450</v>
      </c>
      <c r="B428" s="17" t="s">
        <v>86</v>
      </c>
      <c r="C428" s="29" t="s">
        <v>189</v>
      </c>
      <c r="D428" s="17" t="s">
        <v>187</v>
      </c>
      <c r="E428" s="7" t="s">
        <v>449</v>
      </c>
      <c r="F428" s="149"/>
      <c r="G428" s="47"/>
      <c r="H428" s="37">
        <f>H429</f>
        <v>2769</v>
      </c>
      <c r="I428" s="37">
        <f>I429</f>
        <v>2769</v>
      </c>
      <c r="J428" s="255"/>
      <c r="K428" s="246"/>
      <c r="L428" s="255"/>
      <c r="M428" s="246"/>
    </row>
    <row r="429" spans="1:13" ht="16.5" thickBot="1">
      <c r="A429" s="97" t="s">
        <v>448</v>
      </c>
      <c r="B429" s="19" t="s">
        <v>86</v>
      </c>
      <c r="C429" s="30" t="s">
        <v>189</v>
      </c>
      <c r="D429" s="19" t="s">
        <v>187</v>
      </c>
      <c r="E429" s="5" t="s">
        <v>447</v>
      </c>
      <c r="F429" s="160"/>
      <c r="G429" s="48" t="s">
        <v>66</v>
      </c>
      <c r="H429" s="35">
        <v>2769</v>
      </c>
      <c r="I429" s="35">
        <v>2769</v>
      </c>
      <c r="J429" s="256"/>
      <c r="K429" s="248"/>
      <c r="L429" s="256"/>
      <c r="M429" s="248"/>
    </row>
    <row r="430" spans="1:13" ht="16.5" thickBot="1">
      <c r="A430" s="129" t="s">
        <v>271</v>
      </c>
      <c r="B430" s="141" t="s">
        <v>272</v>
      </c>
      <c r="C430" s="141"/>
      <c r="D430" s="18"/>
      <c r="E430" s="155"/>
      <c r="F430" s="23"/>
      <c r="G430" s="147"/>
      <c r="H430" s="38">
        <f aca="true" t="shared" si="70" ref="H430:K432">H431</f>
        <v>19724.4</v>
      </c>
      <c r="I430" s="38">
        <f t="shared" si="70"/>
        <v>2355</v>
      </c>
      <c r="J430" s="38">
        <f t="shared" si="70"/>
        <v>16176.6</v>
      </c>
      <c r="K430" s="38">
        <f t="shared" si="70"/>
        <v>1472.1</v>
      </c>
      <c r="L430" s="243">
        <f>J430/H430*100</f>
        <v>82.01314108413943</v>
      </c>
      <c r="M430" s="154">
        <f>K430/I430*100</f>
        <v>62.509554140127385</v>
      </c>
    </row>
    <row r="431" spans="1:13" ht="15.75">
      <c r="A431" s="102" t="s">
        <v>113</v>
      </c>
      <c r="B431" s="93" t="s">
        <v>272</v>
      </c>
      <c r="C431" s="16" t="s">
        <v>187</v>
      </c>
      <c r="D431" s="144"/>
      <c r="E431" s="126"/>
      <c r="F431" s="127"/>
      <c r="G431" s="128"/>
      <c r="H431" s="36">
        <f>H432</f>
        <v>19724.4</v>
      </c>
      <c r="I431" s="36">
        <f>I432</f>
        <v>2355</v>
      </c>
      <c r="J431" s="36">
        <f>J432</f>
        <v>16176.6</v>
      </c>
      <c r="K431" s="36">
        <f>K432</f>
        <v>1472.1</v>
      </c>
      <c r="L431" s="325">
        <f>J431/H431*100</f>
        <v>82.01314108413943</v>
      </c>
      <c r="M431" s="262">
        <f>K431/I431*100</f>
        <v>62.509554140127385</v>
      </c>
    </row>
    <row r="432" spans="1:13" ht="15.75">
      <c r="A432" s="102" t="s">
        <v>20</v>
      </c>
      <c r="B432" s="93" t="s">
        <v>272</v>
      </c>
      <c r="C432" s="16" t="s">
        <v>187</v>
      </c>
      <c r="D432" s="31" t="s">
        <v>183</v>
      </c>
      <c r="E432" s="16"/>
      <c r="F432" s="31"/>
      <c r="G432" s="113"/>
      <c r="H432" s="37">
        <f t="shared" si="70"/>
        <v>19724.4</v>
      </c>
      <c r="I432" s="37">
        <f t="shared" si="70"/>
        <v>2355</v>
      </c>
      <c r="J432" s="37">
        <f t="shared" si="70"/>
        <v>16176.6</v>
      </c>
      <c r="K432" s="37">
        <f t="shared" si="70"/>
        <v>1472.1</v>
      </c>
      <c r="L432" s="321"/>
      <c r="M432" s="246"/>
    </row>
    <row r="433" spans="1:13" ht="18.75" customHeight="1">
      <c r="A433" s="24" t="s">
        <v>83</v>
      </c>
      <c r="B433" s="40" t="s">
        <v>273</v>
      </c>
      <c r="C433" s="21" t="s">
        <v>187</v>
      </c>
      <c r="D433" s="29" t="s">
        <v>183</v>
      </c>
      <c r="E433" s="17" t="s">
        <v>52</v>
      </c>
      <c r="F433" s="29"/>
      <c r="G433" s="76"/>
      <c r="H433" s="37">
        <f>H434+H436+H438+H443+H446</f>
        <v>19724.4</v>
      </c>
      <c r="I433" s="37">
        <f>I434+I436+I438+I441+I443+I446</f>
        <v>2355</v>
      </c>
      <c r="J433" s="37">
        <f>J434+J436+J438+J443+J446</f>
        <v>16176.6</v>
      </c>
      <c r="K433" s="37">
        <f>K434+K436+K438+K441+K443+K446</f>
        <v>1472.1</v>
      </c>
      <c r="L433" s="321"/>
      <c r="M433" s="246"/>
    </row>
    <row r="434" spans="1:13" ht="42.75" customHeight="1">
      <c r="A434" s="97" t="s">
        <v>149</v>
      </c>
      <c r="B434" s="40" t="s">
        <v>272</v>
      </c>
      <c r="C434" s="21" t="s">
        <v>187</v>
      </c>
      <c r="D434" s="29" t="s">
        <v>183</v>
      </c>
      <c r="E434" s="17" t="s">
        <v>148</v>
      </c>
      <c r="F434" s="29"/>
      <c r="G434" s="52"/>
      <c r="H434" s="37">
        <f>H435</f>
        <v>2776.4</v>
      </c>
      <c r="I434" s="37">
        <f>I435</f>
        <v>2355</v>
      </c>
      <c r="J434" s="37">
        <f>J435</f>
        <v>1893.5</v>
      </c>
      <c r="K434" s="37">
        <f>K435</f>
        <v>1472.1</v>
      </c>
      <c r="L434" s="321"/>
      <c r="M434" s="246"/>
    </row>
    <row r="435" spans="1:13" s="22" customFormat="1" ht="26.25">
      <c r="A435" s="45" t="s">
        <v>150</v>
      </c>
      <c r="B435" s="40" t="s">
        <v>272</v>
      </c>
      <c r="C435" s="21" t="s">
        <v>187</v>
      </c>
      <c r="D435" s="29" t="s">
        <v>183</v>
      </c>
      <c r="E435" s="17" t="s">
        <v>148</v>
      </c>
      <c r="F435" s="29"/>
      <c r="G435" s="47" t="s">
        <v>125</v>
      </c>
      <c r="H435" s="37">
        <f>2776+421.4-421</f>
        <v>2776.4</v>
      </c>
      <c r="I435" s="37">
        <f>2776-421</f>
        <v>2355</v>
      </c>
      <c r="J435" s="246">
        <v>1893.5</v>
      </c>
      <c r="K435" s="246">
        <v>1472.1</v>
      </c>
      <c r="L435" s="106"/>
      <c r="M435" s="254"/>
    </row>
    <row r="436" spans="1:13" ht="15.75">
      <c r="A436" s="24" t="s">
        <v>151</v>
      </c>
      <c r="B436" s="40" t="s">
        <v>272</v>
      </c>
      <c r="C436" s="21" t="s">
        <v>187</v>
      </c>
      <c r="D436" s="29" t="s">
        <v>183</v>
      </c>
      <c r="E436" s="17" t="s">
        <v>152</v>
      </c>
      <c r="F436" s="7"/>
      <c r="G436" s="52"/>
      <c r="H436" s="37">
        <f>H437</f>
        <v>11317.6</v>
      </c>
      <c r="I436" s="37">
        <f>I437</f>
        <v>0</v>
      </c>
      <c r="J436" s="37">
        <f>J437</f>
        <v>10184.9</v>
      </c>
      <c r="K436" s="246"/>
      <c r="L436" s="321"/>
      <c r="M436" s="246"/>
    </row>
    <row r="437" spans="1:13" ht="26.25">
      <c r="A437" s="45" t="s">
        <v>150</v>
      </c>
      <c r="B437" s="40" t="s">
        <v>272</v>
      </c>
      <c r="C437" s="21" t="s">
        <v>187</v>
      </c>
      <c r="D437" s="29" t="s">
        <v>183</v>
      </c>
      <c r="E437" s="17" t="s">
        <v>152</v>
      </c>
      <c r="F437" s="7"/>
      <c r="G437" s="47" t="s">
        <v>125</v>
      </c>
      <c r="H437" s="37">
        <f>11427.6-110</f>
        <v>11317.6</v>
      </c>
      <c r="I437" s="37"/>
      <c r="J437" s="246">
        <v>10184.9</v>
      </c>
      <c r="K437" s="246"/>
      <c r="L437" s="321"/>
      <c r="M437" s="246"/>
    </row>
    <row r="438" spans="1:13" ht="26.25">
      <c r="A438" s="45" t="s">
        <v>154</v>
      </c>
      <c r="B438" s="40" t="s">
        <v>272</v>
      </c>
      <c r="C438" s="21" t="s">
        <v>187</v>
      </c>
      <c r="D438" s="29" t="s">
        <v>183</v>
      </c>
      <c r="E438" s="17" t="s">
        <v>155</v>
      </c>
      <c r="F438" s="7"/>
      <c r="G438" s="52"/>
      <c r="H438" s="37">
        <f>H439+H441</f>
        <v>4728.9</v>
      </c>
      <c r="I438" s="37">
        <f>I440</f>
        <v>0</v>
      </c>
      <c r="J438" s="37">
        <f>J439+J441</f>
        <v>3237.3</v>
      </c>
      <c r="K438" s="246"/>
      <c r="L438" s="321"/>
      <c r="M438" s="246"/>
    </row>
    <row r="439" spans="1:13" ht="15.75">
      <c r="A439" s="45" t="s">
        <v>156</v>
      </c>
      <c r="B439" s="40" t="s">
        <v>272</v>
      </c>
      <c r="C439" s="21" t="s">
        <v>187</v>
      </c>
      <c r="D439" s="29" t="s">
        <v>183</v>
      </c>
      <c r="E439" s="17" t="s">
        <v>157</v>
      </c>
      <c r="F439" s="7"/>
      <c r="G439" s="52"/>
      <c r="H439" s="37">
        <f>H440</f>
        <v>1090.5</v>
      </c>
      <c r="I439" s="37"/>
      <c r="J439" s="37">
        <f>J440</f>
        <v>704</v>
      </c>
      <c r="K439" s="246"/>
      <c r="L439" s="321"/>
      <c r="M439" s="246"/>
    </row>
    <row r="440" spans="1:13" ht="26.25">
      <c r="A440" s="45" t="s">
        <v>150</v>
      </c>
      <c r="B440" s="40" t="s">
        <v>272</v>
      </c>
      <c r="C440" s="21" t="s">
        <v>187</v>
      </c>
      <c r="D440" s="29" t="s">
        <v>183</v>
      </c>
      <c r="E440" s="17" t="s">
        <v>157</v>
      </c>
      <c r="F440" s="7"/>
      <c r="G440" s="47" t="s">
        <v>125</v>
      </c>
      <c r="H440" s="37">
        <f>628+462.5</f>
        <v>1090.5</v>
      </c>
      <c r="I440" s="37"/>
      <c r="J440" s="63">
        <v>704</v>
      </c>
      <c r="K440" s="246"/>
      <c r="L440" s="321"/>
      <c r="M440" s="246"/>
    </row>
    <row r="441" spans="1:13" ht="26.25">
      <c r="A441" s="45" t="s">
        <v>159</v>
      </c>
      <c r="B441" s="40" t="s">
        <v>272</v>
      </c>
      <c r="C441" s="17" t="s">
        <v>187</v>
      </c>
      <c r="D441" s="29" t="s">
        <v>183</v>
      </c>
      <c r="E441" s="17" t="s">
        <v>158</v>
      </c>
      <c r="F441" s="7"/>
      <c r="G441" s="52"/>
      <c r="H441" s="37">
        <f>H442</f>
        <v>3638.3999999999996</v>
      </c>
      <c r="I441" s="37">
        <f>I442</f>
        <v>0</v>
      </c>
      <c r="J441" s="37">
        <f>J442</f>
        <v>2533.3</v>
      </c>
      <c r="K441" s="246"/>
      <c r="L441" s="321"/>
      <c r="M441" s="246"/>
    </row>
    <row r="442" spans="1:13" ht="26.25">
      <c r="A442" s="45" t="s">
        <v>150</v>
      </c>
      <c r="B442" s="40" t="s">
        <v>272</v>
      </c>
      <c r="C442" s="17" t="s">
        <v>187</v>
      </c>
      <c r="D442" s="29" t="s">
        <v>183</v>
      </c>
      <c r="E442" s="17" t="s">
        <v>158</v>
      </c>
      <c r="F442" s="7"/>
      <c r="G442" s="47" t="s">
        <v>125</v>
      </c>
      <c r="H442" s="37">
        <f>5107.4-899.1+0.1-570</f>
        <v>3638.3999999999996</v>
      </c>
      <c r="I442" s="37"/>
      <c r="J442" s="246">
        <v>2533.3</v>
      </c>
      <c r="K442" s="246"/>
      <c r="L442" s="321"/>
      <c r="M442" s="246"/>
    </row>
    <row r="443" spans="1:13" ht="15.75">
      <c r="A443" s="24" t="s">
        <v>53</v>
      </c>
      <c r="B443" s="40" t="s">
        <v>272</v>
      </c>
      <c r="C443" s="17" t="s">
        <v>187</v>
      </c>
      <c r="D443" s="29" t="s">
        <v>183</v>
      </c>
      <c r="E443" s="17" t="s">
        <v>160</v>
      </c>
      <c r="F443" s="7"/>
      <c r="G443" s="52"/>
      <c r="H443" s="37">
        <f aca="true" t="shared" si="71" ref="H443:J444">H444</f>
        <v>196.5</v>
      </c>
      <c r="I443" s="37">
        <f t="shared" si="71"/>
        <v>0</v>
      </c>
      <c r="J443" s="37">
        <f t="shared" si="71"/>
        <v>196.4</v>
      </c>
      <c r="K443" s="246"/>
      <c r="L443" s="321"/>
      <c r="M443" s="246"/>
    </row>
    <row r="444" spans="1:13" ht="15.75">
      <c r="A444" s="24" t="s">
        <v>161</v>
      </c>
      <c r="B444" s="40" t="s">
        <v>272</v>
      </c>
      <c r="C444" s="17" t="s">
        <v>187</v>
      </c>
      <c r="D444" s="29" t="s">
        <v>183</v>
      </c>
      <c r="E444" s="17" t="s">
        <v>162</v>
      </c>
      <c r="F444" s="7"/>
      <c r="G444" s="52"/>
      <c r="H444" s="37">
        <f t="shared" si="71"/>
        <v>196.5</v>
      </c>
      <c r="I444" s="37">
        <f t="shared" si="71"/>
        <v>0</v>
      </c>
      <c r="J444" s="37">
        <f t="shared" si="71"/>
        <v>196.4</v>
      </c>
      <c r="K444" s="246"/>
      <c r="L444" s="321"/>
      <c r="M444" s="246"/>
    </row>
    <row r="445" spans="1:13" ht="26.25">
      <c r="A445" s="45" t="s">
        <v>150</v>
      </c>
      <c r="B445" s="40" t="s">
        <v>272</v>
      </c>
      <c r="C445" s="17" t="s">
        <v>187</v>
      </c>
      <c r="D445" s="29" t="s">
        <v>183</v>
      </c>
      <c r="E445" s="17" t="s">
        <v>162</v>
      </c>
      <c r="F445" s="7"/>
      <c r="G445" s="47" t="s">
        <v>125</v>
      </c>
      <c r="H445" s="37">
        <f>250-53.5</f>
        <v>196.5</v>
      </c>
      <c r="I445" s="37"/>
      <c r="J445" s="246">
        <v>196.4</v>
      </c>
      <c r="K445" s="246"/>
      <c r="L445" s="321"/>
      <c r="M445" s="246"/>
    </row>
    <row r="446" spans="1:13" ht="26.25">
      <c r="A446" s="97" t="s">
        <v>104</v>
      </c>
      <c r="B446" s="41" t="s">
        <v>272</v>
      </c>
      <c r="C446" s="17" t="s">
        <v>187</v>
      </c>
      <c r="D446" s="29" t="s">
        <v>183</v>
      </c>
      <c r="E446" s="17" t="s">
        <v>163</v>
      </c>
      <c r="F446" s="7"/>
      <c r="G446" s="52"/>
      <c r="H446" s="37">
        <f>H447</f>
        <v>705</v>
      </c>
      <c r="I446" s="37">
        <f>I447</f>
        <v>0</v>
      </c>
      <c r="J446" s="37">
        <f>J447</f>
        <v>664.5</v>
      </c>
      <c r="K446" s="246"/>
      <c r="L446" s="321"/>
      <c r="M446" s="246"/>
    </row>
    <row r="447" spans="1:13" ht="16.5" thickBot="1">
      <c r="A447" s="163" t="s">
        <v>164</v>
      </c>
      <c r="B447" s="42" t="s">
        <v>272</v>
      </c>
      <c r="C447" s="19" t="s">
        <v>187</v>
      </c>
      <c r="D447" s="30" t="s">
        <v>183</v>
      </c>
      <c r="E447" s="19" t="s">
        <v>163</v>
      </c>
      <c r="F447" s="5"/>
      <c r="G447" s="48" t="s">
        <v>125</v>
      </c>
      <c r="H447" s="35">
        <f>105+600</f>
        <v>705</v>
      </c>
      <c r="I447" s="35"/>
      <c r="J447" s="248">
        <v>664.5</v>
      </c>
      <c r="K447" s="248"/>
      <c r="L447" s="180"/>
      <c r="M447" s="248"/>
    </row>
    <row r="448" spans="1:13" s="22" customFormat="1" ht="32.25" thickBot="1">
      <c r="A448" s="168" t="s">
        <v>350</v>
      </c>
      <c r="B448" s="20" t="s">
        <v>351</v>
      </c>
      <c r="C448" s="20"/>
      <c r="D448" s="12"/>
      <c r="E448" s="20"/>
      <c r="F448" s="166"/>
      <c r="G448" s="50"/>
      <c r="H448" s="167">
        <f aca="true" t="shared" si="72" ref="H448:J450">H449</f>
        <v>1103.4</v>
      </c>
      <c r="I448" s="167">
        <f t="shared" si="72"/>
        <v>0</v>
      </c>
      <c r="J448" s="167">
        <f t="shared" si="72"/>
        <v>1073.9</v>
      </c>
      <c r="K448" s="260"/>
      <c r="L448" s="243">
        <f>J448/H448*100</f>
        <v>97.32644553199202</v>
      </c>
      <c r="M448" s="154"/>
    </row>
    <row r="449" spans="1:13" s="22" customFormat="1" ht="15.75">
      <c r="A449" s="169" t="s">
        <v>17</v>
      </c>
      <c r="B449" s="16" t="s">
        <v>351</v>
      </c>
      <c r="C449" s="16" t="s">
        <v>182</v>
      </c>
      <c r="D449" s="31" t="s">
        <v>123</v>
      </c>
      <c r="E449" s="16"/>
      <c r="F449" s="87"/>
      <c r="G449" s="82"/>
      <c r="H449" s="79">
        <f t="shared" si="72"/>
        <v>1103.4</v>
      </c>
      <c r="I449" s="79">
        <f t="shared" si="72"/>
        <v>0</v>
      </c>
      <c r="J449" s="79">
        <f t="shared" si="72"/>
        <v>1073.9</v>
      </c>
      <c r="K449" s="178"/>
      <c r="L449" s="102"/>
      <c r="M449" s="178"/>
    </row>
    <row r="450" spans="1:13" s="46" customFormat="1" ht="15.75">
      <c r="A450" s="26" t="s">
        <v>293</v>
      </c>
      <c r="B450" s="17" t="s">
        <v>351</v>
      </c>
      <c r="C450" s="17" t="s">
        <v>182</v>
      </c>
      <c r="D450" s="29" t="s">
        <v>190</v>
      </c>
      <c r="E450" s="17"/>
      <c r="F450" s="29"/>
      <c r="G450" s="101"/>
      <c r="H450" s="37">
        <f t="shared" si="72"/>
        <v>1103.4</v>
      </c>
      <c r="I450" s="37">
        <f t="shared" si="72"/>
        <v>0</v>
      </c>
      <c r="J450" s="37">
        <f t="shared" si="72"/>
        <v>1073.9</v>
      </c>
      <c r="K450" s="157"/>
      <c r="L450" s="24"/>
      <c r="M450" s="157"/>
    </row>
    <row r="451" spans="1:13" ht="15.75">
      <c r="A451" s="62" t="s">
        <v>294</v>
      </c>
      <c r="B451" s="65" t="s">
        <v>351</v>
      </c>
      <c r="C451" s="65" t="s">
        <v>182</v>
      </c>
      <c r="D451" s="66" t="s">
        <v>190</v>
      </c>
      <c r="E451" s="65" t="s">
        <v>295</v>
      </c>
      <c r="F451" s="66"/>
      <c r="G451" s="132"/>
      <c r="H451" s="37">
        <f>H452+H454</f>
        <v>1103.4</v>
      </c>
      <c r="I451" s="37">
        <f>I452+I454</f>
        <v>0</v>
      </c>
      <c r="J451" s="37">
        <f>J452+J454</f>
        <v>1073.9</v>
      </c>
      <c r="K451" s="246"/>
      <c r="L451" s="321"/>
      <c r="M451" s="246"/>
    </row>
    <row r="452" spans="1:13" ht="26.25">
      <c r="A452" s="61" t="s">
        <v>296</v>
      </c>
      <c r="B452" s="65" t="s">
        <v>351</v>
      </c>
      <c r="C452" s="65" t="s">
        <v>182</v>
      </c>
      <c r="D452" s="66" t="s">
        <v>190</v>
      </c>
      <c r="E452" s="65" t="s">
        <v>297</v>
      </c>
      <c r="F452" s="66"/>
      <c r="G452" s="132"/>
      <c r="H452" s="37">
        <f>H453</f>
        <v>346.5</v>
      </c>
      <c r="I452" s="37">
        <f>I453</f>
        <v>0</v>
      </c>
      <c r="J452" s="37">
        <f>J453</f>
        <v>317.7</v>
      </c>
      <c r="K452" s="246"/>
      <c r="L452" s="321"/>
      <c r="M452" s="246"/>
    </row>
    <row r="453" spans="1:13" ht="15.75">
      <c r="A453" s="62" t="s">
        <v>142</v>
      </c>
      <c r="B453" s="65" t="s">
        <v>351</v>
      </c>
      <c r="C453" s="65" t="s">
        <v>182</v>
      </c>
      <c r="D453" s="66" t="s">
        <v>190</v>
      </c>
      <c r="E453" s="65" t="s">
        <v>297</v>
      </c>
      <c r="F453" s="66"/>
      <c r="G453" s="132" t="s">
        <v>266</v>
      </c>
      <c r="H453" s="37">
        <f>2203.5-1400-457</f>
        <v>346.5</v>
      </c>
      <c r="I453" s="37"/>
      <c r="J453" s="246">
        <v>317.7</v>
      </c>
      <c r="K453" s="246"/>
      <c r="L453" s="321"/>
      <c r="M453" s="246"/>
    </row>
    <row r="454" spans="1:13" ht="15.75">
      <c r="A454" s="61" t="s">
        <v>298</v>
      </c>
      <c r="B454" s="65" t="s">
        <v>351</v>
      </c>
      <c r="C454" s="65" t="s">
        <v>182</v>
      </c>
      <c r="D454" s="66" t="s">
        <v>190</v>
      </c>
      <c r="E454" s="65" t="s">
        <v>299</v>
      </c>
      <c r="F454" s="66"/>
      <c r="G454" s="132"/>
      <c r="H454" s="37">
        <f>H455</f>
        <v>756.9</v>
      </c>
      <c r="I454" s="37">
        <f>I455</f>
        <v>0</v>
      </c>
      <c r="J454" s="37">
        <f>J455</f>
        <v>756.2</v>
      </c>
      <c r="K454" s="246"/>
      <c r="L454" s="321"/>
      <c r="M454" s="246"/>
    </row>
    <row r="455" spans="1:13" ht="16.5" thickBot="1">
      <c r="A455" s="180" t="s">
        <v>142</v>
      </c>
      <c r="B455" s="179" t="s">
        <v>351</v>
      </c>
      <c r="C455" s="179" t="s">
        <v>182</v>
      </c>
      <c r="D455" s="164" t="s">
        <v>190</v>
      </c>
      <c r="E455" s="179" t="s">
        <v>299</v>
      </c>
      <c r="F455" s="164"/>
      <c r="G455" s="165" t="s">
        <v>266</v>
      </c>
      <c r="H455" s="35">
        <f>2203.5-1400-46.6</f>
        <v>756.9</v>
      </c>
      <c r="I455" s="35"/>
      <c r="J455" s="248">
        <v>756.2</v>
      </c>
      <c r="K455" s="248"/>
      <c r="L455" s="180"/>
      <c r="M455" s="248"/>
    </row>
    <row r="456" spans="1:13" ht="16.5" thickBot="1">
      <c r="A456" s="181" t="s">
        <v>408</v>
      </c>
      <c r="B456" s="152" t="s">
        <v>359</v>
      </c>
      <c r="C456" s="151"/>
      <c r="D456" s="152"/>
      <c r="E456" s="151"/>
      <c r="F456" s="152"/>
      <c r="G456" s="223"/>
      <c r="H456" s="182">
        <f aca="true" t="shared" si="73" ref="H456:J458">H457</f>
        <v>3000</v>
      </c>
      <c r="I456" s="182">
        <f t="shared" si="73"/>
        <v>0</v>
      </c>
      <c r="J456" s="182">
        <f t="shared" si="73"/>
        <v>1618.6999999999998</v>
      </c>
      <c r="K456" s="249"/>
      <c r="L456" s="243">
        <f>J456/H456*100</f>
        <v>53.95666666666666</v>
      </c>
      <c r="M456" s="154"/>
    </row>
    <row r="457" spans="1:13" ht="15.75">
      <c r="A457" s="169" t="s">
        <v>17</v>
      </c>
      <c r="B457" s="93" t="s">
        <v>359</v>
      </c>
      <c r="C457" s="16" t="s">
        <v>182</v>
      </c>
      <c r="D457" s="31" t="s">
        <v>123</v>
      </c>
      <c r="E457" s="16"/>
      <c r="F457" s="31"/>
      <c r="G457" s="337"/>
      <c r="H457" s="79">
        <f t="shared" si="73"/>
        <v>3000</v>
      </c>
      <c r="I457" s="79">
        <f t="shared" si="73"/>
        <v>0</v>
      </c>
      <c r="J457" s="79">
        <f t="shared" si="73"/>
        <v>1618.6999999999998</v>
      </c>
      <c r="K457" s="250"/>
      <c r="L457" s="62"/>
      <c r="M457" s="250"/>
    </row>
    <row r="458" spans="1:13" ht="39">
      <c r="A458" s="136" t="s">
        <v>290</v>
      </c>
      <c r="B458" s="94" t="s">
        <v>359</v>
      </c>
      <c r="C458" s="91" t="s">
        <v>182</v>
      </c>
      <c r="D458" s="103" t="s">
        <v>187</v>
      </c>
      <c r="E458" s="91"/>
      <c r="F458" s="103"/>
      <c r="G458" s="224"/>
      <c r="H458" s="37">
        <f t="shared" si="73"/>
        <v>3000</v>
      </c>
      <c r="I458" s="37">
        <f t="shared" si="73"/>
        <v>0</v>
      </c>
      <c r="J458" s="37">
        <f t="shared" si="73"/>
        <v>1618.6999999999998</v>
      </c>
      <c r="K458" s="246"/>
      <c r="L458" s="321"/>
      <c r="M458" s="246"/>
    </row>
    <row r="459" spans="1:13" ht="39">
      <c r="A459" s="183" t="s">
        <v>286</v>
      </c>
      <c r="B459" s="64" t="s">
        <v>359</v>
      </c>
      <c r="C459" s="65" t="s">
        <v>182</v>
      </c>
      <c r="D459" s="66" t="s">
        <v>187</v>
      </c>
      <c r="E459" s="65" t="s">
        <v>265</v>
      </c>
      <c r="F459" s="66"/>
      <c r="G459" s="225"/>
      <c r="H459" s="37">
        <f>H462+H460</f>
        <v>3000</v>
      </c>
      <c r="I459" s="37">
        <f>I462</f>
        <v>0</v>
      </c>
      <c r="J459" s="37">
        <f>J462+J460</f>
        <v>1618.6999999999998</v>
      </c>
      <c r="K459" s="246"/>
      <c r="L459" s="321"/>
      <c r="M459" s="246"/>
    </row>
    <row r="460" spans="1:13" ht="15.75">
      <c r="A460" s="8" t="s">
        <v>50</v>
      </c>
      <c r="B460" s="64" t="s">
        <v>359</v>
      </c>
      <c r="C460" s="65" t="s">
        <v>182</v>
      </c>
      <c r="D460" s="66" t="s">
        <v>187</v>
      </c>
      <c r="E460" s="65" t="s">
        <v>267</v>
      </c>
      <c r="F460" s="66"/>
      <c r="G460" s="225"/>
      <c r="H460" s="37">
        <f>H461</f>
        <v>2144</v>
      </c>
      <c r="I460" s="37"/>
      <c r="J460" s="37">
        <f>J461</f>
        <v>804.4</v>
      </c>
      <c r="K460" s="246"/>
      <c r="L460" s="321"/>
      <c r="M460" s="246"/>
    </row>
    <row r="461" spans="1:13" ht="15.75">
      <c r="A461" s="26" t="s">
        <v>142</v>
      </c>
      <c r="B461" s="64" t="s">
        <v>359</v>
      </c>
      <c r="C461" s="65" t="s">
        <v>182</v>
      </c>
      <c r="D461" s="66" t="s">
        <v>187</v>
      </c>
      <c r="E461" s="65" t="s">
        <v>267</v>
      </c>
      <c r="F461" s="66"/>
      <c r="G461" s="225" t="s">
        <v>266</v>
      </c>
      <c r="H461" s="37">
        <v>2144</v>
      </c>
      <c r="I461" s="37"/>
      <c r="J461" s="246">
        <v>804.4</v>
      </c>
      <c r="K461" s="246"/>
      <c r="L461" s="321"/>
      <c r="M461" s="246"/>
    </row>
    <row r="462" spans="1:13" ht="15.75">
      <c r="A462" s="184" t="s">
        <v>291</v>
      </c>
      <c r="B462" s="64" t="s">
        <v>359</v>
      </c>
      <c r="C462" s="65" t="s">
        <v>182</v>
      </c>
      <c r="D462" s="66" t="s">
        <v>187</v>
      </c>
      <c r="E462" s="65" t="s">
        <v>292</v>
      </c>
      <c r="F462" s="66"/>
      <c r="G462" s="225"/>
      <c r="H462" s="37">
        <f>H463</f>
        <v>856</v>
      </c>
      <c r="I462" s="37">
        <f>I463</f>
        <v>0</v>
      </c>
      <c r="J462" s="37">
        <f>J463</f>
        <v>814.3</v>
      </c>
      <c r="K462" s="246"/>
      <c r="L462" s="321"/>
      <c r="M462" s="246"/>
    </row>
    <row r="463" spans="1:13" ht="16.5" thickBot="1">
      <c r="A463" s="335" t="s">
        <v>142</v>
      </c>
      <c r="B463" s="336" t="s">
        <v>359</v>
      </c>
      <c r="C463" s="179" t="s">
        <v>182</v>
      </c>
      <c r="D463" s="164" t="s">
        <v>187</v>
      </c>
      <c r="E463" s="179" t="s">
        <v>292</v>
      </c>
      <c r="F463" s="164"/>
      <c r="G463" s="229" t="s">
        <v>266</v>
      </c>
      <c r="H463" s="35">
        <f>1756-900</f>
        <v>856</v>
      </c>
      <c r="I463" s="35"/>
      <c r="J463" s="248">
        <v>814.3</v>
      </c>
      <c r="K463" s="248"/>
      <c r="L463" s="180"/>
      <c r="M463" s="248"/>
    </row>
    <row r="464" spans="1:13" s="46" customFormat="1" ht="16.5" thickBot="1">
      <c r="A464" s="232" t="s">
        <v>409</v>
      </c>
      <c r="B464" s="233" t="s">
        <v>410</v>
      </c>
      <c r="C464" s="151"/>
      <c r="D464" s="152"/>
      <c r="E464" s="151"/>
      <c r="F464" s="152"/>
      <c r="G464" s="223"/>
      <c r="H464" s="182">
        <f aca="true" t="shared" si="74" ref="H464:K467">H465</f>
        <v>5821.6</v>
      </c>
      <c r="I464" s="182">
        <f t="shared" si="74"/>
        <v>5018</v>
      </c>
      <c r="J464" s="182">
        <f t="shared" si="74"/>
        <v>5799.3</v>
      </c>
      <c r="K464" s="182">
        <f t="shared" si="74"/>
        <v>5018</v>
      </c>
      <c r="L464" s="243">
        <f>J464/H464*100</f>
        <v>99.61694379552013</v>
      </c>
      <c r="M464" s="154">
        <f>K464/I464*100</f>
        <v>100</v>
      </c>
    </row>
    <row r="465" spans="1:13" ht="15.75">
      <c r="A465" s="189" t="s">
        <v>17</v>
      </c>
      <c r="B465" s="222" t="s">
        <v>410</v>
      </c>
      <c r="C465" s="68" t="s">
        <v>182</v>
      </c>
      <c r="D465" s="59" t="s">
        <v>123</v>
      </c>
      <c r="E465" s="68"/>
      <c r="F465" s="59"/>
      <c r="G465" s="226"/>
      <c r="H465" s="36">
        <f t="shared" si="74"/>
        <v>5821.6</v>
      </c>
      <c r="I465" s="36">
        <f t="shared" si="74"/>
        <v>5018</v>
      </c>
      <c r="J465" s="36">
        <f t="shared" si="74"/>
        <v>5799.3</v>
      </c>
      <c r="K465" s="36">
        <f t="shared" si="74"/>
        <v>5018</v>
      </c>
      <c r="L465" s="62"/>
      <c r="M465" s="250"/>
    </row>
    <row r="466" spans="1:13" ht="15.75">
      <c r="A466" s="188" t="s">
        <v>401</v>
      </c>
      <c r="B466" s="185" t="s">
        <v>410</v>
      </c>
      <c r="C466" s="65" t="s">
        <v>182</v>
      </c>
      <c r="D466" s="66" t="s">
        <v>201</v>
      </c>
      <c r="E466" s="65"/>
      <c r="F466" s="66"/>
      <c r="G466" s="225"/>
      <c r="H466" s="37">
        <f t="shared" si="74"/>
        <v>5821.6</v>
      </c>
      <c r="I466" s="37">
        <f t="shared" si="74"/>
        <v>5018</v>
      </c>
      <c r="J466" s="37">
        <f t="shared" si="74"/>
        <v>5799.3</v>
      </c>
      <c r="K466" s="37">
        <f t="shared" si="74"/>
        <v>5018</v>
      </c>
      <c r="L466" s="321"/>
      <c r="M466" s="246"/>
    </row>
    <row r="467" spans="1:13" ht="15.75">
      <c r="A467" s="8" t="s">
        <v>50</v>
      </c>
      <c r="B467" s="185" t="s">
        <v>84</v>
      </c>
      <c r="C467" s="65" t="s">
        <v>182</v>
      </c>
      <c r="D467" s="66" t="s">
        <v>201</v>
      </c>
      <c r="E467" s="65" t="s">
        <v>267</v>
      </c>
      <c r="F467" s="66"/>
      <c r="G467" s="225"/>
      <c r="H467" s="37">
        <f t="shared" si="74"/>
        <v>5821.6</v>
      </c>
      <c r="I467" s="37">
        <f t="shared" si="74"/>
        <v>5018</v>
      </c>
      <c r="J467" s="37">
        <f t="shared" si="74"/>
        <v>5799.3</v>
      </c>
      <c r="K467" s="37">
        <f t="shared" si="74"/>
        <v>5018</v>
      </c>
      <c r="L467" s="321"/>
      <c r="M467" s="246"/>
    </row>
    <row r="468" spans="1:13" ht="16.5" thickBot="1">
      <c r="A468" s="227" t="s">
        <v>142</v>
      </c>
      <c r="B468" s="228" t="s">
        <v>84</v>
      </c>
      <c r="C468" s="179" t="s">
        <v>182</v>
      </c>
      <c r="D468" s="164" t="s">
        <v>201</v>
      </c>
      <c r="E468" s="179" t="s">
        <v>267</v>
      </c>
      <c r="F468" s="164" t="s">
        <v>266</v>
      </c>
      <c r="G468" s="229" t="s">
        <v>266</v>
      </c>
      <c r="H468" s="35">
        <f>5018+503.6+150+150</f>
        <v>5821.6</v>
      </c>
      <c r="I468" s="35">
        <v>5018</v>
      </c>
      <c r="J468" s="248">
        <v>5799.3</v>
      </c>
      <c r="K468" s="320">
        <v>5018</v>
      </c>
      <c r="L468" s="180"/>
      <c r="M468" s="248"/>
    </row>
    <row r="469" spans="1:13" ht="16.5" thickBot="1">
      <c r="A469" s="230" t="s">
        <v>71</v>
      </c>
      <c r="B469" s="141" t="s">
        <v>49</v>
      </c>
      <c r="C469" s="18" t="s">
        <v>48</v>
      </c>
      <c r="D469" s="143" t="s">
        <v>48</v>
      </c>
      <c r="E469" s="18" t="s">
        <v>47</v>
      </c>
      <c r="F469" s="143"/>
      <c r="G469" s="231" t="s">
        <v>49</v>
      </c>
      <c r="H469" s="38">
        <f>H11+H215+H276+H309+H348+H368+H401+H430+H448+H456+H464</f>
        <v>2091294</v>
      </c>
      <c r="I469" s="38">
        <f>I11+I215+I276+I309+I348+I368+I401+I430+I448+I456+I464</f>
        <v>422310.3</v>
      </c>
      <c r="J469" s="38">
        <f>J11+J215+J276+J309+J348+J368+J401+J430+J448+J456+J464</f>
        <v>1878717.0000000002</v>
      </c>
      <c r="K469" s="38">
        <f>K11+K215+K276+K309+K348+K368+K401+K430+K448+K456+K464</f>
        <v>403264.1</v>
      </c>
      <c r="L469" s="243">
        <f>J469/H469*100</f>
        <v>89.83514513023995</v>
      </c>
      <c r="M469" s="154">
        <f>K469/I469*100</f>
        <v>95.48999870474388</v>
      </c>
    </row>
    <row r="471" spans="2:13" ht="15.75">
      <c r="B471"/>
      <c r="C471"/>
      <c r="D471"/>
      <c r="E471"/>
      <c r="F471"/>
      <c r="G471"/>
      <c r="H471"/>
      <c r="I471"/>
      <c r="J471"/>
      <c r="K471"/>
      <c r="L471"/>
      <c r="M471"/>
    </row>
    <row r="472" spans="2:13" ht="15.75">
      <c r="B472"/>
      <c r="C472"/>
      <c r="D472"/>
      <c r="E472"/>
      <c r="F472"/>
      <c r="G472"/>
      <c r="H472"/>
      <c r="I472"/>
      <c r="J472"/>
      <c r="K472"/>
      <c r="L472"/>
      <c r="M472"/>
    </row>
    <row r="473" spans="2:13" ht="15.75">
      <c r="B473"/>
      <c r="C473"/>
      <c r="D473"/>
      <c r="E473"/>
      <c r="F473"/>
      <c r="G473"/>
      <c r="H473"/>
      <c r="I473"/>
      <c r="J473"/>
      <c r="K473"/>
      <c r="L473"/>
      <c r="M473"/>
    </row>
    <row r="474" spans="2:13" ht="15" customHeight="1">
      <c r="B474"/>
      <c r="C474"/>
      <c r="D474"/>
      <c r="E474"/>
      <c r="F474"/>
      <c r="G474"/>
      <c r="H474"/>
      <c r="I474"/>
      <c r="J474"/>
      <c r="K474"/>
      <c r="L474"/>
      <c r="M474"/>
    </row>
    <row r="475" spans="2:13" ht="15.75">
      <c r="B475"/>
      <c r="C475"/>
      <c r="D475"/>
      <c r="E475"/>
      <c r="F475"/>
      <c r="G475"/>
      <c r="H475"/>
      <c r="I475"/>
      <c r="J475"/>
      <c r="K475"/>
      <c r="L475"/>
      <c r="M475"/>
    </row>
    <row r="476" spans="2:13" ht="15.75">
      <c r="B476"/>
      <c r="C476"/>
      <c r="D476"/>
      <c r="E476"/>
      <c r="F476"/>
      <c r="G476"/>
      <c r="H476"/>
      <c r="I476"/>
      <c r="J476"/>
      <c r="K476"/>
      <c r="L476"/>
      <c r="M476"/>
    </row>
    <row r="477" spans="2:13" ht="15.75">
      <c r="B477"/>
      <c r="C477"/>
      <c r="D477"/>
      <c r="E477"/>
      <c r="F477"/>
      <c r="G477"/>
      <c r="H477"/>
      <c r="I477"/>
      <c r="J477"/>
      <c r="K477"/>
      <c r="L477"/>
      <c r="M477"/>
    </row>
    <row r="478" spans="2:13" ht="15.75">
      <c r="B478"/>
      <c r="C478"/>
      <c r="D478"/>
      <c r="E478"/>
      <c r="F478"/>
      <c r="G478"/>
      <c r="H478"/>
      <c r="I478"/>
      <c r="J478"/>
      <c r="K478"/>
      <c r="L478"/>
      <c r="M478"/>
    </row>
    <row r="479" spans="2:13" ht="15.75">
      <c r="B479"/>
      <c r="C479"/>
      <c r="D479"/>
      <c r="E479"/>
      <c r="F479"/>
      <c r="G479"/>
      <c r="H479"/>
      <c r="I479"/>
      <c r="J479"/>
      <c r="K479"/>
      <c r="L479"/>
      <c r="M479"/>
    </row>
    <row r="480" spans="2:13" ht="15.75">
      <c r="B480"/>
      <c r="C480"/>
      <c r="D480"/>
      <c r="E480"/>
      <c r="F480"/>
      <c r="G480"/>
      <c r="H480"/>
      <c r="I480"/>
      <c r="J480"/>
      <c r="K480"/>
      <c r="L480"/>
      <c r="M480"/>
    </row>
    <row r="481" spans="2:13" ht="15.75">
      <c r="B481"/>
      <c r="C481"/>
      <c r="D481"/>
      <c r="E481"/>
      <c r="F481"/>
      <c r="G481"/>
      <c r="H481"/>
      <c r="I481"/>
      <c r="J481"/>
      <c r="K481"/>
      <c r="L481"/>
      <c r="M481"/>
    </row>
    <row r="482" spans="2:13" ht="15.75">
      <c r="B482"/>
      <c r="C482"/>
      <c r="D482"/>
      <c r="E482"/>
      <c r="F482"/>
      <c r="G482"/>
      <c r="H482"/>
      <c r="I482"/>
      <c r="J482"/>
      <c r="K482"/>
      <c r="L482"/>
      <c r="M482"/>
    </row>
    <row r="483" spans="2:13" ht="15.75">
      <c r="B483"/>
      <c r="C483"/>
      <c r="D483"/>
      <c r="E483"/>
      <c r="F483"/>
      <c r="G483"/>
      <c r="H483"/>
      <c r="I483"/>
      <c r="J483"/>
      <c r="K483"/>
      <c r="L483"/>
      <c r="M483"/>
    </row>
    <row r="484" spans="2:13" ht="15.75">
      <c r="B484"/>
      <c r="C484"/>
      <c r="D484"/>
      <c r="E484"/>
      <c r="F484"/>
      <c r="G484"/>
      <c r="H484"/>
      <c r="I484"/>
      <c r="J484"/>
      <c r="K484"/>
      <c r="L484"/>
      <c r="M484"/>
    </row>
    <row r="485" spans="2:13" ht="15.75">
      <c r="B485"/>
      <c r="C485"/>
      <c r="D485"/>
      <c r="E485"/>
      <c r="F485"/>
      <c r="G485"/>
      <c r="H485"/>
      <c r="I485"/>
      <c r="J485"/>
      <c r="K485"/>
      <c r="L485"/>
      <c r="M485"/>
    </row>
    <row r="486" spans="2:13" ht="15.75">
      <c r="B486"/>
      <c r="C486"/>
      <c r="D486"/>
      <c r="E486"/>
      <c r="F486"/>
      <c r="G486"/>
      <c r="H486"/>
      <c r="I486"/>
      <c r="J486"/>
      <c r="K486"/>
      <c r="L486"/>
      <c r="M486"/>
    </row>
    <row r="487" spans="2:13" ht="15.75">
      <c r="B487"/>
      <c r="C487"/>
      <c r="D487"/>
      <c r="E487"/>
      <c r="F487"/>
      <c r="G487"/>
      <c r="H487"/>
      <c r="I487"/>
      <c r="J487"/>
      <c r="K487"/>
      <c r="L487"/>
      <c r="M487"/>
    </row>
    <row r="488" spans="2:13" ht="15.75">
      <c r="B488"/>
      <c r="C488"/>
      <c r="D488"/>
      <c r="E488"/>
      <c r="F488"/>
      <c r="G488"/>
      <c r="H488"/>
      <c r="I488"/>
      <c r="J488"/>
      <c r="K488"/>
      <c r="L488"/>
      <c r="M488"/>
    </row>
    <row r="489" spans="2:13" ht="15.75">
      <c r="B489"/>
      <c r="C489"/>
      <c r="D489"/>
      <c r="E489"/>
      <c r="F489"/>
      <c r="G489"/>
      <c r="H489"/>
      <c r="I489"/>
      <c r="J489"/>
      <c r="K489"/>
      <c r="L489"/>
      <c r="M489"/>
    </row>
    <row r="490" spans="2:13" ht="15.75">
      <c r="B490"/>
      <c r="C490"/>
      <c r="D490"/>
      <c r="E490"/>
      <c r="F490"/>
      <c r="G490"/>
      <c r="H490"/>
      <c r="I490"/>
      <c r="J490"/>
      <c r="K490"/>
      <c r="L490"/>
      <c r="M490"/>
    </row>
    <row r="491" spans="2:13" ht="15.75">
      <c r="B491"/>
      <c r="C491"/>
      <c r="D491"/>
      <c r="E491"/>
      <c r="F491"/>
      <c r="G491"/>
      <c r="H491"/>
      <c r="I491"/>
      <c r="J491"/>
      <c r="K491"/>
      <c r="L491"/>
      <c r="M491"/>
    </row>
    <row r="492" spans="2:13" ht="15.75">
      <c r="B492"/>
      <c r="C492"/>
      <c r="D492"/>
      <c r="E492"/>
      <c r="F492"/>
      <c r="G492"/>
      <c r="H492"/>
      <c r="I492"/>
      <c r="J492"/>
      <c r="K492"/>
      <c r="L492"/>
      <c r="M492"/>
    </row>
    <row r="493" spans="2:13" ht="15.75">
      <c r="B493"/>
      <c r="C493"/>
      <c r="D493"/>
      <c r="E493"/>
      <c r="F493"/>
      <c r="G493"/>
      <c r="H493"/>
      <c r="I493"/>
      <c r="J493"/>
      <c r="K493"/>
      <c r="L493"/>
      <c r="M493"/>
    </row>
    <row r="494" spans="2:13" ht="15.75">
      <c r="B494"/>
      <c r="C494"/>
      <c r="D494"/>
      <c r="E494"/>
      <c r="F494"/>
      <c r="G494"/>
      <c r="H494"/>
      <c r="I494"/>
      <c r="J494"/>
      <c r="K494"/>
      <c r="L494"/>
      <c r="M494"/>
    </row>
    <row r="495" spans="2:13" ht="15.75">
      <c r="B495"/>
      <c r="C495"/>
      <c r="D495"/>
      <c r="E495"/>
      <c r="F495"/>
      <c r="G495"/>
      <c r="H495"/>
      <c r="I495"/>
      <c r="J495"/>
      <c r="K495"/>
      <c r="L495"/>
      <c r="M495"/>
    </row>
    <row r="496" spans="2:13" ht="15.75">
      <c r="B496"/>
      <c r="C496"/>
      <c r="D496"/>
      <c r="E496"/>
      <c r="F496"/>
      <c r="G496"/>
      <c r="H496"/>
      <c r="I496"/>
      <c r="J496"/>
      <c r="K496"/>
      <c r="L496"/>
      <c r="M496"/>
    </row>
    <row r="497" spans="2:13" ht="15.75">
      <c r="B497"/>
      <c r="C497"/>
      <c r="D497"/>
      <c r="E497"/>
      <c r="F497"/>
      <c r="G497"/>
      <c r="H497"/>
      <c r="I497"/>
      <c r="J497"/>
      <c r="K497"/>
      <c r="L497"/>
      <c r="M497"/>
    </row>
    <row r="498" spans="2:13" ht="15.75">
      <c r="B498"/>
      <c r="C498"/>
      <c r="D498"/>
      <c r="E498"/>
      <c r="F498"/>
      <c r="G498"/>
      <c r="H498"/>
      <c r="I498"/>
      <c r="J498"/>
      <c r="K498"/>
      <c r="L498"/>
      <c r="M498"/>
    </row>
    <row r="499" spans="2:13" ht="15.75">
      <c r="B499"/>
      <c r="C499"/>
      <c r="D499"/>
      <c r="E499"/>
      <c r="F499"/>
      <c r="G499"/>
      <c r="H499"/>
      <c r="I499"/>
      <c r="J499"/>
      <c r="K499"/>
      <c r="L499"/>
      <c r="M499"/>
    </row>
    <row r="500" spans="2:13" ht="15.75">
      <c r="B500"/>
      <c r="C500"/>
      <c r="D500"/>
      <c r="E500"/>
      <c r="F500"/>
      <c r="G500"/>
      <c r="H500"/>
      <c r="I500"/>
      <c r="J500"/>
      <c r="K500"/>
      <c r="L500"/>
      <c r="M500"/>
    </row>
    <row r="501" spans="2:13" ht="15.75">
      <c r="B501"/>
      <c r="C501"/>
      <c r="D501"/>
      <c r="E501"/>
      <c r="F501"/>
      <c r="G501"/>
      <c r="H501"/>
      <c r="I501"/>
      <c r="J501"/>
      <c r="K501"/>
      <c r="L501"/>
      <c r="M501"/>
    </row>
    <row r="502" spans="2:13" ht="15.75">
      <c r="B502"/>
      <c r="C502"/>
      <c r="D502"/>
      <c r="E502"/>
      <c r="F502"/>
      <c r="G502"/>
      <c r="H502"/>
      <c r="I502"/>
      <c r="J502"/>
      <c r="K502"/>
      <c r="L502"/>
      <c r="M502"/>
    </row>
    <row r="503" spans="2:13" ht="15.75">
      <c r="B503"/>
      <c r="C503"/>
      <c r="D503"/>
      <c r="E503"/>
      <c r="F503"/>
      <c r="G503"/>
      <c r="H503"/>
      <c r="I503"/>
      <c r="J503"/>
      <c r="K503"/>
      <c r="L503"/>
      <c r="M503"/>
    </row>
    <row r="504" spans="2:13" ht="15.75">
      <c r="B504"/>
      <c r="C504"/>
      <c r="D504"/>
      <c r="E504"/>
      <c r="F504"/>
      <c r="G504"/>
      <c r="H504"/>
      <c r="I504"/>
      <c r="J504"/>
      <c r="K504"/>
      <c r="L504"/>
      <c r="M504"/>
    </row>
    <row r="505" spans="2:13" ht="15.75">
      <c r="B505"/>
      <c r="C505"/>
      <c r="D505"/>
      <c r="E505"/>
      <c r="F505"/>
      <c r="G505"/>
      <c r="H505"/>
      <c r="I505"/>
      <c r="J505"/>
      <c r="K505"/>
      <c r="L505"/>
      <c r="M505"/>
    </row>
    <row r="506" spans="2:13" ht="15.75">
      <c r="B506"/>
      <c r="C506"/>
      <c r="D506"/>
      <c r="E506"/>
      <c r="F506"/>
      <c r="G506"/>
      <c r="H506"/>
      <c r="I506"/>
      <c r="J506"/>
      <c r="K506"/>
      <c r="L506"/>
      <c r="M506"/>
    </row>
    <row r="507" spans="2:13" ht="15.75">
      <c r="B507"/>
      <c r="C507"/>
      <c r="D507"/>
      <c r="E507"/>
      <c r="F507"/>
      <c r="G507"/>
      <c r="H507"/>
      <c r="I507"/>
      <c r="J507"/>
      <c r="K507"/>
      <c r="L507"/>
      <c r="M507"/>
    </row>
    <row r="508" spans="2:13" ht="15.75">
      <c r="B508"/>
      <c r="C508"/>
      <c r="D508"/>
      <c r="E508"/>
      <c r="F508"/>
      <c r="G508"/>
      <c r="H508"/>
      <c r="I508"/>
      <c r="J508"/>
      <c r="K508"/>
      <c r="L508"/>
      <c r="M508"/>
    </row>
    <row r="509" spans="2:13" ht="15.75">
      <c r="B509"/>
      <c r="C509"/>
      <c r="D509"/>
      <c r="E509"/>
      <c r="F509"/>
      <c r="G509"/>
      <c r="H509"/>
      <c r="I509"/>
      <c r="J509"/>
      <c r="K509"/>
      <c r="L509"/>
      <c r="M509"/>
    </row>
    <row r="510" spans="2:13" ht="15.75">
      <c r="B510"/>
      <c r="C510"/>
      <c r="D510"/>
      <c r="E510"/>
      <c r="F510"/>
      <c r="G510"/>
      <c r="H510"/>
      <c r="I510"/>
      <c r="J510"/>
      <c r="K510"/>
      <c r="L510"/>
      <c r="M510"/>
    </row>
    <row r="511" spans="2:13" ht="15.75">
      <c r="B511"/>
      <c r="C511"/>
      <c r="D511"/>
      <c r="E511"/>
      <c r="F511"/>
      <c r="G511"/>
      <c r="H511"/>
      <c r="I511"/>
      <c r="J511"/>
      <c r="K511"/>
      <c r="L511"/>
      <c r="M511"/>
    </row>
    <row r="512" spans="2:13" ht="15.75">
      <c r="B512"/>
      <c r="C512"/>
      <c r="D512"/>
      <c r="E512"/>
      <c r="F512"/>
      <c r="G512"/>
      <c r="H512"/>
      <c r="I512"/>
      <c r="J512"/>
      <c r="K512"/>
      <c r="L512"/>
      <c r="M512"/>
    </row>
    <row r="513" spans="2:13" ht="15.75">
      <c r="B513"/>
      <c r="C513"/>
      <c r="D513"/>
      <c r="E513"/>
      <c r="F513"/>
      <c r="G513"/>
      <c r="H513"/>
      <c r="I513"/>
      <c r="J513"/>
      <c r="K513"/>
      <c r="L513"/>
      <c r="M513"/>
    </row>
    <row r="514" spans="2:13" ht="15.75">
      <c r="B514"/>
      <c r="C514"/>
      <c r="D514"/>
      <c r="E514"/>
      <c r="F514"/>
      <c r="G514"/>
      <c r="H514"/>
      <c r="I514"/>
      <c r="J514"/>
      <c r="K514"/>
      <c r="L514"/>
      <c r="M514"/>
    </row>
    <row r="515" spans="2:13" ht="15.75">
      <c r="B515"/>
      <c r="C515"/>
      <c r="D515"/>
      <c r="E515"/>
      <c r="F515"/>
      <c r="G515"/>
      <c r="H515"/>
      <c r="I515"/>
      <c r="J515"/>
      <c r="K515"/>
      <c r="L515"/>
      <c r="M515"/>
    </row>
    <row r="516" spans="2:13" ht="15.75">
      <c r="B516"/>
      <c r="C516"/>
      <c r="D516"/>
      <c r="E516"/>
      <c r="F516"/>
      <c r="G516"/>
      <c r="H516"/>
      <c r="I516"/>
      <c r="J516"/>
      <c r="K516"/>
      <c r="L516"/>
      <c r="M516"/>
    </row>
    <row r="517" spans="2:13" ht="15.75">
      <c r="B517"/>
      <c r="C517"/>
      <c r="D517"/>
      <c r="E517"/>
      <c r="F517"/>
      <c r="G517"/>
      <c r="H517"/>
      <c r="I517"/>
      <c r="J517"/>
      <c r="K517"/>
      <c r="L517"/>
      <c r="M517"/>
    </row>
    <row r="518" spans="2:13" ht="15.75">
      <c r="B518"/>
      <c r="C518"/>
      <c r="D518"/>
      <c r="E518"/>
      <c r="F518"/>
      <c r="G518"/>
      <c r="H518"/>
      <c r="I518"/>
      <c r="J518"/>
      <c r="K518"/>
      <c r="L518"/>
      <c r="M518"/>
    </row>
    <row r="519" spans="2:13" ht="15.75">
      <c r="B519"/>
      <c r="C519"/>
      <c r="D519"/>
      <c r="E519"/>
      <c r="F519"/>
      <c r="G519"/>
      <c r="H519"/>
      <c r="I519"/>
      <c r="J519"/>
      <c r="K519"/>
      <c r="L519"/>
      <c r="M519"/>
    </row>
    <row r="520" spans="2:13" ht="15.75">
      <c r="B520"/>
      <c r="C520"/>
      <c r="D520"/>
      <c r="E520"/>
      <c r="F520"/>
      <c r="G520"/>
      <c r="H520"/>
      <c r="I520"/>
      <c r="J520"/>
      <c r="K520"/>
      <c r="L520"/>
      <c r="M520"/>
    </row>
    <row r="521" spans="2:13" ht="15.75">
      <c r="B521"/>
      <c r="C521"/>
      <c r="D521"/>
      <c r="E521"/>
      <c r="F521"/>
      <c r="G521"/>
      <c r="H521"/>
      <c r="I521"/>
      <c r="J521"/>
      <c r="K521"/>
      <c r="L521"/>
      <c r="M521"/>
    </row>
    <row r="522" spans="2:13" ht="15.75">
      <c r="B522"/>
      <c r="C522"/>
      <c r="D522"/>
      <c r="E522"/>
      <c r="F522"/>
      <c r="G522"/>
      <c r="H522"/>
      <c r="I522"/>
      <c r="J522"/>
      <c r="K522"/>
      <c r="L522"/>
      <c r="M522"/>
    </row>
    <row r="523" spans="2:13" ht="15.75">
      <c r="B523"/>
      <c r="C523"/>
      <c r="D523"/>
      <c r="E523"/>
      <c r="F523"/>
      <c r="G523"/>
      <c r="H523"/>
      <c r="I523"/>
      <c r="J523"/>
      <c r="K523"/>
      <c r="L523"/>
      <c r="M523"/>
    </row>
    <row r="524" spans="2:13" ht="15.75">
      <c r="B524"/>
      <c r="C524"/>
      <c r="D524"/>
      <c r="E524"/>
      <c r="F524"/>
      <c r="G524"/>
      <c r="H524"/>
      <c r="I524"/>
      <c r="J524"/>
      <c r="K524"/>
      <c r="L524"/>
      <c r="M524"/>
    </row>
    <row r="525" spans="2:13" ht="15.75">
      <c r="B525"/>
      <c r="C525"/>
      <c r="D525"/>
      <c r="E525"/>
      <c r="F525"/>
      <c r="G525"/>
      <c r="H525"/>
      <c r="I525"/>
      <c r="J525"/>
      <c r="K525"/>
      <c r="L525"/>
      <c r="M525"/>
    </row>
    <row r="526" spans="2:13" ht="15.75">
      <c r="B526"/>
      <c r="C526"/>
      <c r="D526"/>
      <c r="E526"/>
      <c r="F526"/>
      <c r="G526"/>
      <c r="H526"/>
      <c r="I526"/>
      <c r="J526"/>
      <c r="K526"/>
      <c r="L526"/>
      <c r="M526"/>
    </row>
    <row r="527" spans="2:13" ht="15.75">
      <c r="B527"/>
      <c r="C527"/>
      <c r="D527"/>
      <c r="E527"/>
      <c r="F527"/>
      <c r="G527"/>
      <c r="H527"/>
      <c r="I527"/>
      <c r="J527"/>
      <c r="K527"/>
      <c r="L527"/>
      <c r="M527"/>
    </row>
    <row r="528" spans="2:13" ht="15.75">
      <c r="B528"/>
      <c r="C528"/>
      <c r="D528"/>
      <c r="E528"/>
      <c r="F528"/>
      <c r="G528"/>
      <c r="H528"/>
      <c r="I528"/>
      <c r="J528"/>
      <c r="K528"/>
      <c r="L528"/>
      <c r="M528"/>
    </row>
    <row r="529" spans="2:13" ht="15.75">
      <c r="B529"/>
      <c r="C529"/>
      <c r="D529"/>
      <c r="E529"/>
      <c r="F529"/>
      <c r="G529"/>
      <c r="H529"/>
      <c r="I529"/>
      <c r="J529"/>
      <c r="K529"/>
      <c r="L529"/>
      <c r="M529"/>
    </row>
    <row r="530" spans="2:13" ht="15.75">
      <c r="B530"/>
      <c r="C530"/>
      <c r="D530"/>
      <c r="E530"/>
      <c r="F530"/>
      <c r="G530"/>
      <c r="H530"/>
      <c r="I530"/>
      <c r="J530"/>
      <c r="K530"/>
      <c r="L530"/>
      <c r="M530"/>
    </row>
    <row r="531" spans="2:13" ht="15.75">
      <c r="B531"/>
      <c r="C531"/>
      <c r="D531"/>
      <c r="E531"/>
      <c r="F531"/>
      <c r="G531"/>
      <c r="H531"/>
      <c r="I531"/>
      <c r="J531"/>
      <c r="K531"/>
      <c r="L531"/>
      <c r="M531"/>
    </row>
    <row r="532" spans="2:13" ht="15.75">
      <c r="B532"/>
      <c r="C532"/>
      <c r="D532"/>
      <c r="E532"/>
      <c r="F532"/>
      <c r="G532"/>
      <c r="H532"/>
      <c r="I532"/>
      <c r="J532"/>
      <c r="K532"/>
      <c r="L532"/>
      <c r="M532"/>
    </row>
    <row r="533" spans="2:13" ht="15.75">
      <c r="B533"/>
      <c r="C533"/>
      <c r="D533"/>
      <c r="E533"/>
      <c r="F533"/>
      <c r="G533"/>
      <c r="H533"/>
      <c r="I533"/>
      <c r="J533"/>
      <c r="K533"/>
      <c r="L533"/>
      <c r="M533"/>
    </row>
    <row r="534" spans="2:13" ht="15.75">
      <c r="B534"/>
      <c r="C534"/>
      <c r="D534"/>
      <c r="E534"/>
      <c r="F534"/>
      <c r="G534"/>
      <c r="H534"/>
      <c r="I534"/>
      <c r="J534"/>
      <c r="K534"/>
      <c r="L534"/>
      <c r="M534"/>
    </row>
    <row r="535" spans="2:13" ht="15.75">
      <c r="B535"/>
      <c r="C535"/>
      <c r="D535"/>
      <c r="E535"/>
      <c r="F535"/>
      <c r="G535"/>
      <c r="H535"/>
      <c r="I535"/>
      <c r="J535"/>
      <c r="K535"/>
      <c r="L535"/>
      <c r="M535"/>
    </row>
    <row r="536" spans="2:13" ht="15.75">
      <c r="B536"/>
      <c r="C536"/>
      <c r="D536"/>
      <c r="E536"/>
      <c r="F536"/>
      <c r="G536"/>
      <c r="H536"/>
      <c r="I536"/>
      <c r="J536"/>
      <c r="K536"/>
      <c r="L536"/>
      <c r="M536"/>
    </row>
    <row r="537" spans="2:13" ht="15.75">
      <c r="B537"/>
      <c r="C537"/>
      <c r="D537"/>
      <c r="E537"/>
      <c r="F537"/>
      <c r="G537"/>
      <c r="H537"/>
      <c r="I537"/>
      <c r="J537"/>
      <c r="K537"/>
      <c r="L537"/>
      <c r="M537"/>
    </row>
    <row r="538" spans="2:13" ht="15.75">
      <c r="B538"/>
      <c r="C538"/>
      <c r="D538"/>
      <c r="E538"/>
      <c r="F538"/>
      <c r="G538"/>
      <c r="H538"/>
      <c r="I538"/>
      <c r="J538"/>
      <c r="K538"/>
      <c r="L538"/>
      <c r="M538"/>
    </row>
    <row r="539" spans="2:13" ht="15.75">
      <c r="B539"/>
      <c r="C539"/>
      <c r="D539"/>
      <c r="E539"/>
      <c r="F539"/>
      <c r="G539"/>
      <c r="H539"/>
      <c r="I539"/>
      <c r="J539"/>
      <c r="K539"/>
      <c r="L539"/>
      <c r="M539"/>
    </row>
    <row r="540" spans="2:13" ht="15.75">
      <c r="B540"/>
      <c r="C540"/>
      <c r="D540"/>
      <c r="E540"/>
      <c r="F540"/>
      <c r="G540"/>
      <c r="H540"/>
      <c r="I540"/>
      <c r="J540"/>
      <c r="K540"/>
      <c r="L540"/>
      <c r="M540"/>
    </row>
    <row r="541" spans="2:13" ht="15.75">
      <c r="B541"/>
      <c r="C541"/>
      <c r="D541"/>
      <c r="E541"/>
      <c r="F541"/>
      <c r="G541"/>
      <c r="H541"/>
      <c r="I541"/>
      <c r="J541"/>
      <c r="K541"/>
      <c r="L541"/>
      <c r="M541"/>
    </row>
    <row r="542" spans="2:13" ht="15.75">
      <c r="B542"/>
      <c r="C542"/>
      <c r="D542"/>
      <c r="E542"/>
      <c r="F542"/>
      <c r="G542"/>
      <c r="H542"/>
      <c r="I542"/>
      <c r="J542"/>
      <c r="K542"/>
      <c r="L542"/>
      <c r="M542"/>
    </row>
    <row r="543" spans="2:13" ht="15.75">
      <c r="B543"/>
      <c r="C543"/>
      <c r="D543"/>
      <c r="E543"/>
      <c r="F543"/>
      <c r="G543"/>
      <c r="H543"/>
      <c r="I543"/>
      <c r="J543"/>
      <c r="K543"/>
      <c r="L543"/>
      <c r="M543"/>
    </row>
    <row r="544" spans="2:13" ht="15.75">
      <c r="B544"/>
      <c r="C544"/>
      <c r="D544"/>
      <c r="E544"/>
      <c r="F544"/>
      <c r="G544"/>
      <c r="H544"/>
      <c r="I544"/>
      <c r="J544"/>
      <c r="K544"/>
      <c r="L544"/>
      <c r="M544"/>
    </row>
    <row r="545" spans="2:13" ht="15.75">
      <c r="B545"/>
      <c r="C545"/>
      <c r="D545"/>
      <c r="E545"/>
      <c r="F545"/>
      <c r="G545"/>
      <c r="H545"/>
      <c r="I545"/>
      <c r="J545"/>
      <c r="K545"/>
      <c r="L545"/>
      <c r="M545"/>
    </row>
    <row r="546" spans="2:13" ht="15.75">
      <c r="B546"/>
      <c r="C546"/>
      <c r="D546"/>
      <c r="E546"/>
      <c r="F546"/>
      <c r="G546"/>
      <c r="H546"/>
      <c r="I546"/>
      <c r="J546"/>
      <c r="K546"/>
      <c r="L546"/>
      <c r="M546"/>
    </row>
    <row r="547" spans="2:13" ht="15.75">
      <c r="B547"/>
      <c r="C547"/>
      <c r="D547"/>
      <c r="E547"/>
      <c r="F547"/>
      <c r="G547"/>
      <c r="H547"/>
      <c r="I547"/>
      <c r="J547"/>
      <c r="K547"/>
      <c r="L547"/>
      <c r="M547"/>
    </row>
    <row r="548" spans="2:13" ht="15.75">
      <c r="B548"/>
      <c r="C548"/>
      <c r="D548"/>
      <c r="E548"/>
      <c r="F548"/>
      <c r="G548"/>
      <c r="H548"/>
      <c r="I548"/>
      <c r="J548"/>
      <c r="K548"/>
      <c r="L548"/>
      <c r="M548"/>
    </row>
    <row r="549" spans="2:13" ht="15.75">
      <c r="B549"/>
      <c r="C549"/>
      <c r="D549"/>
      <c r="E549"/>
      <c r="F549"/>
      <c r="G549"/>
      <c r="H549"/>
      <c r="I549"/>
      <c r="J549"/>
      <c r="K549"/>
      <c r="L549"/>
      <c r="M549"/>
    </row>
    <row r="550" spans="2:13" ht="15.75">
      <c r="B550"/>
      <c r="C550"/>
      <c r="D550"/>
      <c r="E550"/>
      <c r="F550"/>
      <c r="G550"/>
      <c r="H550"/>
      <c r="I550"/>
      <c r="J550"/>
      <c r="K550"/>
      <c r="L550"/>
      <c r="M550"/>
    </row>
    <row r="551" spans="2:13" ht="15.75">
      <c r="B551"/>
      <c r="C551"/>
      <c r="D551"/>
      <c r="E551"/>
      <c r="F551"/>
      <c r="G551"/>
      <c r="H551"/>
      <c r="I551"/>
      <c r="J551"/>
      <c r="K551"/>
      <c r="L551"/>
      <c r="M551"/>
    </row>
    <row r="552" spans="2:13" ht="15.75">
      <c r="B552"/>
      <c r="C552"/>
      <c r="D552"/>
      <c r="E552"/>
      <c r="F552"/>
      <c r="G552"/>
      <c r="H552"/>
      <c r="I552"/>
      <c r="J552"/>
      <c r="K552"/>
      <c r="L552"/>
      <c r="M552"/>
    </row>
    <row r="553" spans="2:13" ht="15.75">
      <c r="B553"/>
      <c r="C553"/>
      <c r="D553"/>
      <c r="E553"/>
      <c r="F553"/>
      <c r="G553"/>
      <c r="H553"/>
      <c r="I553"/>
      <c r="J553"/>
      <c r="K553"/>
      <c r="L553"/>
      <c r="M553"/>
    </row>
    <row r="554" spans="2:13" ht="15.75">
      <c r="B554"/>
      <c r="C554"/>
      <c r="D554"/>
      <c r="E554"/>
      <c r="F554"/>
      <c r="G554"/>
      <c r="H554"/>
      <c r="I554"/>
      <c r="J554"/>
      <c r="K554"/>
      <c r="L554"/>
      <c r="M554"/>
    </row>
    <row r="555" spans="2:13" ht="15.75">
      <c r="B555"/>
      <c r="C555"/>
      <c r="D555"/>
      <c r="E555"/>
      <c r="F555"/>
      <c r="G555"/>
      <c r="H555"/>
      <c r="I555"/>
      <c r="J555"/>
      <c r="K555"/>
      <c r="L555"/>
      <c r="M555"/>
    </row>
    <row r="556" spans="2:13" ht="15.75">
      <c r="B556"/>
      <c r="C556"/>
      <c r="D556"/>
      <c r="E556"/>
      <c r="F556"/>
      <c r="G556"/>
      <c r="H556"/>
      <c r="I556"/>
      <c r="J556"/>
      <c r="K556"/>
      <c r="L556"/>
      <c r="M556"/>
    </row>
    <row r="557" spans="2:13" ht="15.75">
      <c r="B557"/>
      <c r="C557"/>
      <c r="D557"/>
      <c r="E557"/>
      <c r="F557"/>
      <c r="G557"/>
      <c r="H557"/>
      <c r="I557"/>
      <c r="J557"/>
      <c r="K557"/>
      <c r="L557"/>
      <c r="M557"/>
    </row>
    <row r="558" spans="2:13" ht="15.75">
      <c r="B558"/>
      <c r="C558"/>
      <c r="D558"/>
      <c r="E558"/>
      <c r="F558"/>
      <c r="G558"/>
      <c r="H558"/>
      <c r="I558"/>
      <c r="J558"/>
      <c r="K558"/>
      <c r="L558"/>
      <c r="M558"/>
    </row>
    <row r="559" spans="2:13" ht="15.75">
      <c r="B559"/>
      <c r="C559"/>
      <c r="D559"/>
      <c r="E559"/>
      <c r="F559"/>
      <c r="G559"/>
      <c r="H559"/>
      <c r="I559"/>
      <c r="J559"/>
      <c r="K559"/>
      <c r="L559"/>
      <c r="M559"/>
    </row>
    <row r="560" spans="2:13" ht="15.75">
      <c r="B560"/>
      <c r="C560"/>
      <c r="D560"/>
      <c r="E560"/>
      <c r="F560"/>
      <c r="G560"/>
      <c r="H560"/>
      <c r="I560"/>
      <c r="J560"/>
      <c r="K560"/>
      <c r="L560"/>
      <c r="M560"/>
    </row>
    <row r="561" spans="2:13" ht="15.75">
      <c r="B561"/>
      <c r="C561"/>
      <c r="D561"/>
      <c r="E561"/>
      <c r="F561"/>
      <c r="G561"/>
      <c r="H561"/>
      <c r="I561"/>
      <c r="J561"/>
      <c r="K561"/>
      <c r="L561"/>
      <c r="M561"/>
    </row>
    <row r="562" spans="2:13" ht="15.75">
      <c r="B562"/>
      <c r="C562"/>
      <c r="D562"/>
      <c r="E562"/>
      <c r="F562"/>
      <c r="G562"/>
      <c r="H562"/>
      <c r="I562"/>
      <c r="J562"/>
      <c r="K562"/>
      <c r="L562"/>
      <c r="M562"/>
    </row>
    <row r="563" spans="2:13" ht="15.75">
      <c r="B563"/>
      <c r="C563"/>
      <c r="D563"/>
      <c r="E563"/>
      <c r="F563"/>
      <c r="G563"/>
      <c r="H563"/>
      <c r="I563"/>
      <c r="J563"/>
      <c r="K563"/>
      <c r="L563"/>
      <c r="M563"/>
    </row>
    <row r="564" spans="2:13" ht="15.75">
      <c r="B564"/>
      <c r="C564"/>
      <c r="D564"/>
      <c r="E564"/>
      <c r="F564"/>
      <c r="G564"/>
      <c r="H564"/>
      <c r="I564"/>
      <c r="J564"/>
      <c r="K564"/>
      <c r="L564"/>
      <c r="M564"/>
    </row>
    <row r="565" spans="2:13" ht="15.75">
      <c r="B565"/>
      <c r="C565"/>
      <c r="D565"/>
      <c r="E565"/>
      <c r="F565"/>
      <c r="G565"/>
      <c r="H565"/>
      <c r="I565"/>
      <c r="J565"/>
      <c r="K565"/>
      <c r="L565"/>
      <c r="M565"/>
    </row>
    <row r="566" spans="2:13" ht="15.75">
      <c r="B566"/>
      <c r="C566"/>
      <c r="D566"/>
      <c r="E566"/>
      <c r="F566"/>
      <c r="G566"/>
      <c r="H566"/>
      <c r="I566"/>
      <c r="J566"/>
      <c r="K566"/>
      <c r="L566"/>
      <c r="M566"/>
    </row>
    <row r="567" spans="2:13" ht="15.75">
      <c r="B567"/>
      <c r="C567"/>
      <c r="D567"/>
      <c r="E567"/>
      <c r="F567"/>
      <c r="G567"/>
      <c r="H567"/>
      <c r="I567"/>
      <c r="J567"/>
      <c r="K567"/>
      <c r="L567"/>
      <c r="M567"/>
    </row>
    <row r="568" spans="2:13" ht="15.75">
      <c r="B568"/>
      <c r="C568"/>
      <c r="D568"/>
      <c r="E568"/>
      <c r="F568"/>
      <c r="G568"/>
      <c r="H568"/>
      <c r="I568"/>
      <c r="J568"/>
      <c r="K568"/>
      <c r="L568"/>
      <c r="M568"/>
    </row>
    <row r="569" spans="2:13" ht="15.75">
      <c r="B569"/>
      <c r="C569"/>
      <c r="D569"/>
      <c r="E569"/>
      <c r="F569"/>
      <c r="G569"/>
      <c r="H569"/>
      <c r="I569"/>
      <c r="J569"/>
      <c r="K569"/>
      <c r="L569"/>
      <c r="M569"/>
    </row>
    <row r="570" spans="2:13" ht="15.75">
      <c r="B570"/>
      <c r="C570"/>
      <c r="D570"/>
      <c r="E570"/>
      <c r="F570"/>
      <c r="G570"/>
      <c r="H570"/>
      <c r="I570"/>
      <c r="J570"/>
      <c r="K570"/>
      <c r="L570"/>
      <c r="M570"/>
    </row>
    <row r="571" spans="2:13" ht="15.75">
      <c r="B571"/>
      <c r="C571"/>
      <c r="D571"/>
      <c r="E571"/>
      <c r="F571"/>
      <c r="G571"/>
      <c r="H571"/>
      <c r="I571"/>
      <c r="J571"/>
      <c r="K571"/>
      <c r="L571"/>
      <c r="M571"/>
    </row>
    <row r="572" spans="2:13" ht="15.75">
      <c r="B572"/>
      <c r="C572"/>
      <c r="D572"/>
      <c r="E572"/>
      <c r="F572"/>
      <c r="G572"/>
      <c r="H572"/>
      <c r="I572"/>
      <c r="J572"/>
      <c r="K572"/>
      <c r="L572"/>
      <c r="M572"/>
    </row>
    <row r="573" spans="2:13" ht="15.75">
      <c r="B573"/>
      <c r="C573"/>
      <c r="D573"/>
      <c r="E573"/>
      <c r="F573"/>
      <c r="G573"/>
      <c r="H573"/>
      <c r="I573"/>
      <c r="J573"/>
      <c r="K573"/>
      <c r="L573"/>
      <c r="M573"/>
    </row>
    <row r="574" spans="2:13" ht="15.75">
      <c r="B574"/>
      <c r="C574"/>
      <c r="D574"/>
      <c r="E574"/>
      <c r="F574"/>
      <c r="G574"/>
      <c r="H574"/>
      <c r="I574"/>
      <c r="J574"/>
      <c r="K574"/>
      <c r="L574"/>
      <c r="M574"/>
    </row>
    <row r="575" spans="2:13" ht="15.75">
      <c r="B575"/>
      <c r="C575"/>
      <c r="D575"/>
      <c r="E575"/>
      <c r="F575"/>
      <c r="G575"/>
      <c r="H575"/>
      <c r="I575"/>
      <c r="J575"/>
      <c r="K575"/>
      <c r="L575"/>
      <c r="M575"/>
    </row>
    <row r="576" spans="2:13" ht="15.75">
      <c r="B576"/>
      <c r="C576"/>
      <c r="D576"/>
      <c r="E576"/>
      <c r="F576"/>
      <c r="G576"/>
      <c r="H576"/>
      <c r="I576"/>
      <c r="J576"/>
      <c r="K576"/>
      <c r="L576"/>
      <c r="M576"/>
    </row>
    <row r="577" spans="2:13" ht="15.75">
      <c r="B577"/>
      <c r="C577"/>
      <c r="D577"/>
      <c r="E577"/>
      <c r="F577"/>
      <c r="G577"/>
      <c r="H577"/>
      <c r="I577"/>
      <c r="J577"/>
      <c r="K577"/>
      <c r="L577"/>
      <c r="M577"/>
    </row>
    <row r="578" spans="2:13" ht="15.75">
      <c r="B578"/>
      <c r="C578"/>
      <c r="D578"/>
      <c r="E578"/>
      <c r="F578"/>
      <c r="G578"/>
      <c r="H578"/>
      <c r="I578"/>
      <c r="J578"/>
      <c r="K578"/>
      <c r="L578"/>
      <c r="M578"/>
    </row>
    <row r="579" spans="2:13" ht="15.75">
      <c r="B579"/>
      <c r="C579"/>
      <c r="D579"/>
      <c r="E579"/>
      <c r="F579"/>
      <c r="G579"/>
      <c r="H579"/>
      <c r="I579"/>
      <c r="J579"/>
      <c r="K579"/>
      <c r="L579"/>
      <c r="M579"/>
    </row>
    <row r="580" spans="2:13" ht="15.75">
      <c r="B580"/>
      <c r="C580"/>
      <c r="D580"/>
      <c r="E580"/>
      <c r="F580"/>
      <c r="G580"/>
      <c r="H580"/>
      <c r="I580"/>
      <c r="J580"/>
      <c r="K580"/>
      <c r="L580"/>
      <c r="M580"/>
    </row>
    <row r="581" spans="2:13" ht="15.75">
      <c r="B581"/>
      <c r="C581"/>
      <c r="D581"/>
      <c r="E581"/>
      <c r="F581"/>
      <c r="G581"/>
      <c r="H581"/>
      <c r="I581"/>
      <c r="J581"/>
      <c r="K581"/>
      <c r="L581"/>
      <c r="M581"/>
    </row>
    <row r="582" spans="2:13" ht="15.75">
      <c r="B582"/>
      <c r="C582"/>
      <c r="D582"/>
      <c r="E582"/>
      <c r="F582"/>
      <c r="G582"/>
      <c r="H582"/>
      <c r="I582"/>
      <c r="J582"/>
      <c r="K582"/>
      <c r="L582"/>
      <c r="M582"/>
    </row>
    <row r="583" spans="2:13" ht="15.75">
      <c r="B583"/>
      <c r="C583"/>
      <c r="D583"/>
      <c r="E583"/>
      <c r="F583"/>
      <c r="G583"/>
      <c r="H583"/>
      <c r="I583"/>
      <c r="J583"/>
      <c r="K583"/>
      <c r="L583"/>
      <c r="M583"/>
    </row>
    <row r="584" spans="2:13" ht="15.75">
      <c r="B584"/>
      <c r="C584"/>
      <c r="D584"/>
      <c r="E584"/>
      <c r="F584"/>
      <c r="G584"/>
      <c r="H584"/>
      <c r="I584"/>
      <c r="J584"/>
      <c r="K584"/>
      <c r="L584"/>
      <c r="M584"/>
    </row>
    <row r="585" spans="2:13" ht="15.75">
      <c r="B585"/>
      <c r="C585"/>
      <c r="D585"/>
      <c r="E585"/>
      <c r="F585"/>
      <c r="G585"/>
      <c r="H585"/>
      <c r="I585"/>
      <c r="J585"/>
      <c r="K585"/>
      <c r="L585"/>
      <c r="M585"/>
    </row>
    <row r="586" spans="2:13" ht="15.75">
      <c r="B586"/>
      <c r="C586"/>
      <c r="D586"/>
      <c r="E586"/>
      <c r="F586"/>
      <c r="G586"/>
      <c r="H586"/>
      <c r="I586"/>
      <c r="J586"/>
      <c r="K586"/>
      <c r="L586"/>
      <c r="M586"/>
    </row>
    <row r="587" spans="2:13" ht="15.75">
      <c r="B587"/>
      <c r="C587"/>
      <c r="D587"/>
      <c r="E587"/>
      <c r="F587"/>
      <c r="G587"/>
      <c r="H587"/>
      <c r="I587"/>
      <c r="J587"/>
      <c r="K587"/>
      <c r="L587"/>
      <c r="M587"/>
    </row>
    <row r="588" spans="2:13" ht="15.75">
      <c r="B588"/>
      <c r="C588"/>
      <c r="D588"/>
      <c r="E588"/>
      <c r="F588"/>
      <c r="G588"/>
      <c r="H588"/>
      <c r="I588"/>
      <c r="J588"/>
      <c r="K588"/>
      <c r="L588"/>
      <c r="M588"/>
    </row>
    <row r="589" spans="2:13" ht="15.75">
      <c r="B589"/>
      <c r="C589"/>
      <c r="D589"/>
      <c r="E589"/>
      <c r="F589"/>
      <c r="G589"/>
      <c r="H589"/>
      <c r="I589"/>
      <c r="J589"/>
      <c r="K589"/>
      <c r="L589"/>
      <c r="M589"/>
    </row>
    <row r="590" spans="2:13" ht="15.75">
      <c r="B590"/>
      <c r="C590"/>
      <c r="D590"/>
      <c r="E590"/>
      <c r="F590"/>
      <c r="G590"/>
      <c r="H590"/>
      <c r="I590"/>
      <c r="J590"/>
      <c r="K590"/>
      <c r="L590"/>
      <c r="M590"/>
    </row>
    <row r="591" spans="2:13" ht="15.75">
      <c r="B591"/>
      <c r="C591"/>
      <c r="D591"/>
      <c r="E591"/>
      <c r="F591"/>
      <c r="G591"/>
      <c r="H591"/>
      <c r="I591"/>
      <c r="J591"/>
      <c r="K591"/>
      <c r="L591"/>
      <c r="M591"/>
    </row>
    <row r="592" spans="2:13" ht="15.75">
      <c r="B592"/>
      <c r="C592"/>
      <c r="D592"/>
      <c r="E592"/>
      <c r="F592"/>
      <c r="G592"/>
      <c r="H592"/>
      <c r="I592"/>
      <c r="J592"/>
      <c r="K592"/>
      <c r="L592"/>
      <c r="M592"/>
    </row>
    <row r="593" spans="2:13" ht="15.75">
      <c r="B593"/>
      <c r="C593"/>
      <c r="D593"/>
      <c r="E593"/>
      <c r="F593"/>
      <c r="G593"/>
      <c r="H593"/>
      <c r="I593"/>
      <c r="J593"/>
      <c r="K593"/>
      <c r="L593"/>
      <c r="M593"/>
    </row>
    <row r="594" spans="2:13" ht="15.75">
      <c r="B594"/>
      <c r="C594"/>
      <c r="D594"/>
      <c r="E594"/>
      <c r="F594"/>
      <c r="G594"/>
      <c r="H594"/>
      <c r="I594"/>
      <c r="J594"/>
      <c r="K594"/>
      <c r="L594"/>
      <c r="M594"/>
    </row>
    <row r="595" spans="2:13" ht="15.75">
      <c r="B595"/>
      <c r="C595"/>
      <c r="D595"/>
      <c r="E595"/>
      <c r="F595"/>
      <c r="G595"/>
      <c r="H595"/>
      <c r="I595"/>
      <c r="J595"/>
      <c r="K595"/>
      <c r="L595"/>
      <c r="M595"/>
    </row>
    <row r="596" spans="2:13" ht="15.75">
      <c r="B596"/>
      <c r="C596"/>
      <c r="D596"/>
      <c r="E596"/>
      <c r="F596"/>
      <c r="G596"/>
      <c r="H596"/>
      <c r="I596"/>
      <c r="J596"/>
      <c r="K596"/>
      <c r="L596"/>
      <c r="M596"/>
    </row>
    <row r="597" spans="2:13" ht="15.75">
      <c r="B597"/>
      <c r="C597"/>
      <c r="D597"/>
      <c r="E597"/>
      <c r="F597"/>
      <c r="G597"/>
      <c r="H597"/>
      <c r="I597"/>
      <c r="J597"/>
      <c r="K597"/>
      <c r="L597"/>
      <c r="M597"/>
    </row>
    <row r="598" spans="2:13" ht="15.75">
      <c r="B598"/>
      <c r="C598"/>
      <c r="D598"/>
      <c r="E598"/>
      <c r="F598"/>
      <c r="G598"/>
      <c r="H598"/>
      <c r="I598"/>
      <c r="J598"/>
      <c r="K598"/>
      <c r="L598"/>
      <c r="M598"/>
    </row>
    <row r="599" spans="2:13" ht="15.75">
      <c r="B599"/>
      <c r="C599"/>
      <c r="D599"/>
      <c r="E599"/>
      <c r="F599"/>
      <c r="G599"/>
      <c r="H599"/>
      <c r="I599"/>
      <c r="J599"/>
      <c r="K599"/>
      <c r="L599"/>
      <c r="M599"/>
    </row>
    <row r="600" spans="2:13" ht="15.75">
      <c r="B600"/>
      <c r="C600"/>
      <c r="D600"/>
      <c r="E600"/>
      <c r="F600"/>
      <c r="G600"/>
      <c r="H600"/>
      <c r="I600"/>
      <c r="J600"/>
      <c r="K600"/>
      <c r="L600"/>
      <c r="M600"/>
    </row>
    <row r="601" spans="2:13" ht="15.75">
      <c r="B601"/>
      <c r="C601"/>
      <c r="D601"/>
      <c r="E601"/>
      <c r="F601"/>
      <c r="G601"/>
      <c r="H601"/>
      <c r="I601"/>
      <c r="J601"/>
      <c r="K601"/>
      <c r="L601"/>
      <c r="M601"/>
    </row>
    <row r="602" spans="2:13" ht="15.75">
      <c r="B602"/>
      <c r="C602"/>
      <c r="D602"/>
      <c r="E602"/>
      <c r="F602"/>
      <c r="G602"/>
      <c r="H602"/>
      <c r="I602"/>
      <c r="J602"/>
      <c r="K602"/>
      <c r="L602"/>
      <c r="M602"/>
    </row>
    <row r="603" spans="2:13" ht="15.75">
      <c r="B603"/>
      <c r="C603"/>
      <c r="D603"/>
      <c r="E603"/>
      <c r="F603"/>
      <c r="G603"/>
      <c r="H603"/>
      <c r="I603"/>
      <c r="J603"/>
      <c r="K603"/>
      <c r="L603"/>
      <c r="M603"/>
    </row>
    <row r="604" spans="2:13" ht="15.75">
      <c r="B604"/>
      <c r="C604"/>
      <c r="D604"/>
      <c r="E604"/>
      <c r="F604"/>
      <c r="G604"/>
      <c r="H604"/>
      <c r="I604"/>
      <c r="J604"/>
      <c r="K604"/>
      <c r="L604"/>
      <c r="M604"/>
    </row>
    <row r="605" spans="2:13" ht="15.75">
      <c r="B605"/>
      <c r="C605"/>
      <c r="D605"/>
      <c r="E605"/>
      <c r="F605"/>
      <c r="G605"/>
      <c r="H605"/>
      <c r="I605"/>
      <c r="J605"/>
      <c r="K605"/>
      <c r="L605"/>
      <c r="M605"/>
    </row>
    <row r="606" spans="2:13" ht="15.75">
      <c r="B606"/>
      <c r="C606"/>
      <c r="D606"/>
      <c r="E606"/>
      <c r="F606"/>
      <c r="G606"/>
      <c r="H606"/>
      <c r="I606"/>
      <c r="J606"/>
      <c r="K606"/>
      <c r="L606"/>
      <c r="M606"/>
    </row>
    <row r="607" spans="2:13" ht="15.75">
      <c r="B607"/>
      <c r="C607"/>
      <c r="D607"/>
      <c r="E607"/>
      <c r="F607"/>
      <c r="G607"/>
      <c r="H607"/>
      <c r="I607"/>
      <c r="J607"/>
      <c r="K607"/>
      <c r="L607"/>
      <c r="M607"/>
    </row>
    <row r="608" spans="2:13" ht="15.75">
      <c r="B608"/>
      <c r="C608"/>
      <c r="D608"/>
      <c r="E608"/>
      <c r="F608"/>
      <c r="G608"/>
      <c r="H608"/>
      <c r="I608"/>
      <c r="J608"/>
      <c r="K608"/>
      <c r="L608"/>
      <c r="M608"/>
    </row>
    <row r="609" spans="2:13" ht="15.75">
      <c r="B609"/>
      <c r="C609"/>
      <c r="D609"/>
      <c r="E609"/>
      <c r="F609"/>
      <c r="G609"/>
      <c r="H609"/>
      <c r="I609"/>
      <c r="J609"/>
      <c r="K609"/>
      <c r="L609"/>
      <c r="M609"/>
    </row>
    <row r="610" spans="2:13" ht="15.75">
      <c r="B610"/>
      <c r="C610"/>
      <c r="D610"/>
      <c r="E610"/>
      <c r="F610"/>
      <c r="G610"/>
      <c r="H610"/>
      <c r="I610"/>
      <c r="J610"/>
      <c r="K610"/>
      <c r="L610"/>
      <c r="M610"/>
    </row>
    <row r="611" spans="2:13" ht="15.75">
      <c r="B611"/>
      <c r="C611"/>
      <c r="D611"/>
      <c r="E611"/>
      <c r="F611"/>
      <c r="G611"/>
      <c r="H611"/>
      <c r="I611"/>
      <c r="J611"/>
      <c r="K611"/>
      <c r="L611"/>
      <c r="M611"/>
    </row>
    <row r="612" spans="2:13" ht="15.75">
      <c r="B612"/>
      <c r="C612"/>
      <c r="D612"/>
      <c r="E612"/>
      <c r="F612"/>
      <c r="G612"/>
      <c r="H612"/>
      <c r="I612"/>
      <c r="J612"/>
      <c r="K612"/>
      <c r="L612"/>
      <c r="M612"/>
    </row>
    <row r="613" spans="2:13" ht="15.75">
      <c r="B613"/>
      <c r="C613"/>
      <c r="D613"/>
      <c r="E613"/>
      <c r="F613"/>
      <c r="G613"/>
      <c r="H613"/>
      <c r="I613"/>
      <c r="J613"/>
      <c r="K613"/>
      <c r="L613"/>
      <c r="M613"/>
    </row>
    <row r="614" spans="2:13" ht="15.75">
      <c r="B614"/>
      <c r="C614"/>
      <c r="D614"/>
      <c r="E614"/>
      <c r="F614"/>
      <c r="G614"/>
      <c r="H614"/>
      <c r="I614"/>
      <c r="J614"/>
      <c r="K614"/>
      <c r="L614"/>
      <c r="M614"/>
    </row>
    <row r="615" spans="2:13" ht="15.75">
      <c r="B615"/>
      <c r="C615"/>
      <c r="D615"/>
      <c r="E615"/>
      <c r="F615"/>
      <c r="G615"/>
      <c r="H615"/>
      <c r="I615"/>
      <c r="J615"/>
      <c r="K615"/>
      <c r="L615"/>
      <c r="M615"/>
    </row>
    <row r="616" spans="2:13" ht="15.75">
      <c r="B616"/>
      <c r="C616"/>
      <c r="D616"/>
      <c r="E616"/>
      <c r="F616"/>
      <c r="G616"/>
      <c r="H616"/>
      <c r="I616"/>
      <c r="J616"/>
      <c r="K616"/>
      <c r="L616"/>
      <c r="M616"/>
    </row>
    <row r="617" spans="2:13" ht="15.75">
      <c r="B617"/>
      <c r="C617"/>
      <c r="D617"/>
      <c r="E617"/>
      <c r="F617"/>
      <c r="G617"/>
      <c r="H617"/>
      <c r="I617"/>
      <c r="J617"/>
      <c r="K617"/>
      <c r="L617"/>
      <c r="M617"/>
    </row>
    <row r="618" spans="2:13" ht="15.75">
      <c r="B618"/>
      <c r="C618"/>
      <c r="D618"/>
      <c r="E618"/>
      <c r="F618"/>
      <c r="G618"/>
      <c r="H618"/>
      <c r="I618"/>
      <c r="J618"/>
      <c r="K618"/>
      <c r="L618"/>
      <c r="M618"/>
    </row>
    <row r="619" spans="2:13" ht="15.75">
      <c r="B619"/>
      <c r="C619"/>
      <c r="D619"/>
      <c r="E619"/>
      <c r="F619"/>
      <c r="G619"/>
      <c r="H619"/>
      <c r="I619"/>
      <c r="J619"/>
      <c r="K619"/>
      <c r="L619"/>
      <c r="M619"/>
    </row>
    <row r="620" spans="2:13" ht="15.75">
      <c r="B620"/>
      <c r="C620"/>
      <c r="D620"/>
      <c r="E620"/>
      <c r="F620"/>
      <c r="G620"/>
      <c r="H620"/>
      <c r="I620"/>
      <c r="J620"/>
      <c r="K620"/>
      <c r="L620"/>
      <c r="M620"/>
    </row>
    <row r="621" spans="2:13" ht="15.75">
      <c r="B621"/>
      <c r="C621"/>
      <c r="D621"/>
      <c r="E621"/>
      <c r="F621"/>
      <c r="G621"/>
      <c r="H621"/>
      <c r="I621"/>
      <c r="J621"/>
      <c r="K621"/>
      <c r="L621"/>
      <c r="M621"/>
    </row>
    <row r="622" spans="2:13" ht="15.75">
      <c r="B622"/>
      <c r="C622"/>
      <c r="D622"/>
      <c r="E622"/>
      <c r="F622"/>
      <c r="G622"/>
      <c r="H622"/>
      <c r="I622"/>
      <c r="J622"/>
      <c r="K622"/>
      <c r="L622"/>
      <c r="M622"/>
    </row>
    <row r="623" spans="2:13" ht="15.75">
      <c r="B623"/>
      <c r="C623"/>
      <c r="D623"/>
      <c r="E623"/>
      <c r="F623"/>
      <c r="G623"/>
      <c r="H623"/>
      <c r="I623"/>
      <c r="J623"/>
      <c r="K623"/>
      <c r="L623"/>
      <c r="M623"/>
    </row>
    <row r="624" spans="2:13" ht="15.75">
      <c r="B624"/>
      <c r="C624"/>
      <c r="D624"/>
      <c r="E624"/>
      <c r="F624"/>
      <c r="G624"/>
      <c r="H624"/>
      <c r="I624"/>
      <c r="J624"/>
      <c r="K624"/>
      <c r="L624"/>
      <c r="M624"/>
    </row>
    <row r="625" spans="2:13" ht="15.75">
      <c r="B625"/>
      <c r="C625"/>
      <c r="D625"/>
      <c r="E625"/>
      <c r="F625"/>
      <c r="G625"/>
      <c r="H625"/>
      <c r="I625"/>
      <c r="J625"/>
      <c r="K625"/>
      <c r="L625"/>
      <c r="M625"/>
    </row>
    <row r="626" spans="2:13" ht="15.75">
      <c r="B626"/>
      <c r="C626"/>
      <c r="D626"/>
      <c r="E626"/>
      <c r="F626"/>
      <c r="G626"/>
      <c r="H626"/>
      <c r="I626"/>
      <c r="J626"/>
      <c r="K626"/>
      <c r="L626"/>
      <c r="M626"/>
    </row>
    <row r="627" spans="2:13" ht="15.75">
      <c r="B627"/>
      <c r="C627"/>
      <c r="D627"/>
      <c r="E627"/>
      <c r="F627"/>
      <c r="G627"/>
      <c r="H627"/>
      <c r="I627"/>
      <c r="J627"/>
      <c r="K627"/>
      <c r="L627"/>
      <c r="M627"/>
    </row>
    <row r="628" spans="2:13" ht="15.75">
      <c r="B628"/>
      <c r="C628"/>
      <c r="D628"/>
      <c r="E628"/>
      <c r="F628"/>
      <c r="G628"/>
      <c r="H628"/>
      <c r="I628"/>
      <c r="J628"/>
      <c r="K628"/>
      <c r="L628"/>
      <c r="M628"/>
    </row>
    <row r="629" spans="2:13" ht="15.75">
      <c r="B629"/>
      <c r="C629"/>
      <c r="D629"/>
      <c r="E629"/>
      <c r="F629"/>
      <c r="G629"/>
      <c r="H629"/>
      <c r="I629"/>
      <c r="J629"/>
      <c r="K629"/>
      <c r="L629"/>
      <c r="M629"/>
    </row>
    <row r="630" spans="2:13" ht="15.75">
      <c r="B630"/>
      <c r="C630"/>
      <c r="D630"/>
      <c r="E630"/>
      <c r="F630"/>
      <c r="G630"/>
      <c r="H630"/>
      <c r="I630"/>
      <c r="J630"/>
      <c r="K630"/>
      <c r="L630"/>
      <c r="M630"/>
    </row>
    <row r="631" spans="2:13" ht="15.75">
      <c r="B631"/>
      <c r="C631"/>
      <c r="D631"/>
      <c r="E631"/>
      <c r="F631"/>
      <c r="G631"/>
      <c r="H631"/>
      <c r="I631"/>
      <c r="J631"/>
      <c r="K631"/>
      <c r="L631"/>
      <c r="M631"/>
    </row>
    <row r="632" spans="2:13" ht="15.75">
      <c r="B632"/>
      <c r="C632"/>
      <c r="D632"/>
      <c r="E632"/>
      <c r="F632"/>
      <c r="G632"/>
      <c r="H632"/>
      <c r="I632"/>
      <c r="J632"/>
      <c r="K632"/>
      <c r="L632"/>
      <c r="M632"/>
    </row>
    <row r="633" spans="2:13" ht="15.75">
      <c r="B633"/>
      <c r="C633"/>
      <c r="D633"/>
      <c r="E633"/>
      <c r="F633"/>
      <c r="G633"/>
      <c r="H633"/>
      <c r="I633"/>
      <c r="J633"/>
      <c r="K633"/>
      <c r="L633"/>
      <c r="M633"/>
    </row>
    <row r="634" spans="2:13" ht="15.75">
      <c r="B634"/>
      <c r="C634"/>
      <c r="D634"/>
      <c r="E634"/>
      <c r="F634"/>
      <c r="G634"/>
      <c r="H634"/>
      <c r="I634"/>
      <c r="J634"/>
      <c r="K634"/>
      <c r="L634"/>
      <c r="M634"/>
    </row>
    <row r="635" spans="2:13" ht="15.75">
      <c r="B635"/>
      <c r="C635"/>
      <c r="D635"/>
      <c r="E635"/>
      <c r="F635"/>
      <c r="G635"/>
      <c r="H635"/>
      <c r="I635"/>
      <c r="J635"/>
      <c r="K635"/>
      <c r="L635"/>
      <c r="M635"/>
    </row>
    <row r="636" spans="2:13" ht="15.75">
      <c r="B636"/>
      <c r="C636"/>
      <c r="D636"/>
      <c r="E636"/>
      <c r="F636"/>
      <c r="G636"/>
      <c r="H636"/>
      <c r="I636"/>
      <c r="J636"/>
      <c r="K636"/>
      <c r="L636"/>
      <c r="M636"/>
    </row>
    <row r="637" spans="2:13" ht="15.75">
      <c r="B637"/>
      <c r="C637"/>
      <c r="D637"/>
      <c r="E637"/>
      <c r="F637"/>
      <c r="G637"/>
      <c r="H637"/>
      <c r="I637"/>
      <c r="J637"/>
      <c r="K637"/>
      <c r="L637"/>
      <c r="M637"/>
    </row>
    <row r="638" spans="2:13" ht="15.75">
      <c r="B638"/>
      <c r="C638"/>
      <c r="D638"/>
      <c r="E638"/>
      <c r="F638"/>
      <c r="G638"/>
      <c r="H638"/>
      <c r="I638"/>
      <c r="J638"/>
      <c r="K638"/>
      <c r="L638"/>
      <c r="M638"/>
    </row>
    <row r="639" spans="2:13" ht="15.75">
      <c r="B639"/>
      <c r="C639"/>
      <c r="D639"/>
      <c r="E639"/>
      <c r="F639"/>
      <c r="G639"/>
      <c r="H639"/>
      <c r="I639"/>
      <c r="J639"/>
      <c r="K639"/>
      <c r="L639"/>
      <c r="M639"/>
    </row>
    <row r="640" spans="2:13" ht="15.75">
      <c r="B640"/>
      <c r="C640"/>
      <c r="D640"/>
      <c r="E640"/>
      <c r="F640"/>
      <c r="G640"/>
      <c r="H640"/>
      <c r="I640"/>
      <c r="J640"/>
      <c r="K640"/>
      <c r="L640"/>
      <c r="M640"/>
    </row>
    <row r="641" spans="2:13" ht="15.75">
      <c r="B641"/>
      <c r="C641"/>
      <c r="D641"/>
      <c r="E641"/>
      <c r="F641"/>
      <c r="G641"/>
      <c r="H641"/>
      <c r="I641"/>
      <c r="J641"/>
      <c r="K641"/>
      <c r="L641"/>
      <c r="M641"/>
    </row>
    <row r="642" spans="2:13" ht="15.75">
      <c r="B642"/>
      <c r="C642"/>
      <c r="D642"/>
      <c r="E642"/>
      <c r="F642"/>
      <c r="G642"/>
      <c r="H642"/>
      <c r="I642"/>
      <c r="J642"/>
      <c r="K642"/>
      <c r="L642"/>
      <c r="M642"/>
    </row>
    <row r="643" spans="2:13" ht="15.75">
      <c r="B643"/>
      <c r="C643"/>
      <c r="D643"/>
      <c r="E643"/>
      <c r="F643"/>
      <c r="G643"/>
      <c r="H643"/>
      <c r="I643"/>
      <c r="J643"/>
      <c r="K643"/>
      <c r="L643"/>
      <c r="M643"/>
    </row>
    <row r="644" spans="2:13" ht="15.75">
      <c r="B644"/>
      <c r="C644"/>
      <c r="D644"/>
      <c r="E644"/>
      <c r="F644"/>
      <c r="G644"/>
      <c r="H644"/>
      <c r="I644"/>
      <c r="J644"/>
      <c r="K644"/>
      <c r="L644"/>
      <c r="M644"/>
    </row>
    <row r="645" spans="2:13" ht="15.75">
      <c r="B645"/>
      <c r="C645"/>
      <c r="D645"/>
      <c r="E645"/>
      <c r="F645"/>
      <c r="G645"/>
      <c r="H645"/>
      <c r="I645"/>
      <c r="J645"/>
      <c r="K645"/>
      <c r="L645"/>
      <c r="M645"/>
    </row>
    <row r="646" spans="2:13" ht="15.75">
      <c r="B646"/>
      <c r="C646"/>
      <c r="D646"/>
      <c r="E646"/>
      <c r="F646"/>
      <c r="G646"/>
      <c r="H646"/>
      <c r="I646"/>
      <c r="J646"/>
      <c r="K646"/>
      <c r="L646"/>
      <c r="M646"/>
    </row>
    <row r="647" spans="2:13" ht="15.75">
      <c r="B647"/>
      <c r="C647"/>
      <c r="D647"/>
      <c r="E647"/>
      <c r="F647"/>
      <c r="G647"/>
      <c r="H647"/>
      <c r="I647"/>
      <c r="J647"/>
      <c r="K647"/>
      <c r="L647"/>
      <c r="M647"/>
    </row>
    <row r="648" spans="2:13" ht="15.75">
      <c r="B648"/>
      <c r="C648"/>
      <c r="D648"/>
      <c r="E648"/>
      <c r="F648"/>
      <c r="G648"/>
      <c r="H648"/>
      <c r="I648"/>
      <c r="J648"/>
      <c r="K648"/>
      <c r="L648"/>
      <c r="M648"/>
    </row>
    <row r="649" spans="2:13" ht="15.75">
      <c r="B649"/>
      <c r="C649"/>
      <c r="D649"/>
      <c r="E649"/>
      <c r="F649"/>
      <c r="G649"/>
      <c r="H649"/>
      <c r="I649"/>
      <c r="J649"/>
      <c r="K649"/>
      <c r="L649"/>
      <c r="M649"/>
    </row>
    <row r="650" spans="2:13" ht="15.75">
      <c r="B650"/>
      <c r="C650"/>
      <c r="D650"/>
      <c r="E650"/>
      <c r="F650"/>
      <c r="G650"/>
      <c r="H650"/>
      <c r="I650"/>
      <c r="J650"/>
      <c r="K650"/>
      <c r="L650"/>
      <c r="M650"/>
    </row>
    <row r="651" spans="2:13" ht="15.75">
      <c r="B651"/>
      <c r="C651"/>
      <c r="D651"/>
      <c r="E651"/>
      <c r="F651"/>
      <c r="G651"/>
      <c r="H651"/>
      <c r="I651"/>
      <c r="J651"/>
      <c r="K651"/>
      <c r="L651"/>
      <c r="M651"/>
    </row>
    <row r="652" spans="2:13" ht="15.75">
      <c r="B652"/>
      <c r="C652"/>
      <c r="D652"/>
      <c r="E652"/>
      <c r="F652"/>
      <c r="G652"/>
      <c r="H652"/>
      <c r="I652"/>
      <c r="J652"/>
      <c r="K652"/>
      <c r="L652"/>
      <c r="M652"/>
    </row>
    <row r="653" spans="2:13" ht="15.75">
      <c r="B653"/>
      <c r="C653"/>
      <c r="D653"/>
      <c r="E653"/>
      <c r="F653"/>
      <c r="G653"/>
      <c r="H653"/>
      <c r="I653"/>
      <c r="J653"/>
      <c r="K653"/>
      <c r="L653"/>
      <c r="M653"/>
    </row>
    <row r="654" spans="2:13" ht="15.75">
      <c r="B654"/>
      <c r="C654"/>
      <c r="D654"/>
      <c r="E654"/>
      <c r="F654"/>
      <c r="G654"/>
      <c r="H654"/>
      <c r="I654"/>
      <c r="J654"/>
      <c r="K654"/>
      <c r="L654"/>
      <c r="M654"/>
    </row>
    <row r="655" spans="2:13" ht="15.75">
      <c r="B655"/>
      <c r="C655"/>
      <c r="D655"/>
      <c r="E655"/>
      <c r="F655"/>
      <c r="G655"/>
      <c r="H655"/>
      <c r="I655"/>
      <c r="J655"/>
      <c r="K655"/>
      <c r="L655"/>
      <c r="M655"/>
    </row>
    <row r="656" spans="2:13" ht="15.75">
      <c r="B656"/>
      <c r="C656"/>
      <c r="D656"/>
      <c r="E656"/>
      <c r="F656"/>
      <c r="G656"/>
      <c r="H656"/>
      <c r="I656"/>
      <c r="J656"/>
      <c r="K656"/>
      <c r="L656"/>
      <c r="M656"/>
    </row>
    <row r="657" spans="2:13" ht="15.75">
      <c r="B657"/>
      <c r="C657"/>
      <c r="D657"/>
      <c r="E657"/>
      <c r="F657"/>
      <c r="G657"/>
      <c r="H657"/>
      <c r="I657"/>
      <c r="J657"/>
      <c r="K657"/>
      <c r="L657"/>
      <c r="M657"/>
    </row>
    <row r="658" spans="2:13" ht="15.75">
      <c r="B658"/>
      <c r="C658"/>
      <c r="D658"/>
      <c r="E658"/>
      <c r="F658"/>
      <c r="G658"/>
      <c r="H658"/>
      <c r="I658"/>
      <c r="J658"/>
      <c r="K658"/>
      <c r="L658"/>
      <c r="M658"/>
    </row>
    <row r="659" spans="2:13" ht="15.75">
      <c r="B659"/>
      <c r="C659"/>
      <c r="D659"/>
      <c r="E659"/>
      <c r="F659"/>
      <c r="G659"/>
      <c r="H659"/>
      <c r="I659"/>
      <c r="J659"/>
      <c r="K659"/>
      <c r="L659"/>
      <c r="M659"/>
    </row>
    <row r="660" spans="2:13" ht="15.75">
      <c r="B660"/>
      <c r="C660"/>
      <c r="D660"/>
      <c r="E660"/>
      <c r="F660"/>
      <c r="G660"/>
      <c r="H660"/>
      <c r="I660"/>
      <c r="J660"/>
      <c r="K660"/>
      <c r="L660"/>
      <c r="M660"/>
    </row>
    <row r="661" spans="2:13" ht="15.75">
      <c r="B661"/>
      <c r="C661"/>
      <c r="D661"/>
      <c r="E661"/>
      <c r="F661"/>
      <c r="G661"/>
      <c r="H661"/>
      <c r="I661"/>
      <c r="J661"/>
      <c r="K661"/>
      <c r="L661"/>
      <c r="M661"/>
    </row>
    <row r="662" spans="2:13" ht="15.75">
      <c r="B662"/>
      <c r="C662"/>
      <c r="D662"/>
      <c r="E662"/>
      <c r="F662"/>
      <c r="G662"/>
      <c r="H662"/>
      <c r="I662"/>
      <c r="J662"/>
      <c r="K662"/>
      <c r="L662"/>
      <c r="M662"/>
    </row>
    <row r="663" spans="2:13" ht="15.75">
      <c r="B663"/>
      <c r="C663"/>
      <c r="D663"/>
      <c r="E663"/>
      <c r="F663"/>
      <c r="G663"/>
      <c r="H663"/>
      <c r="I663"/>
      <c r="J663"/>
      <c r="K663"/>
      <c r="L663"/>
      <c r="M663"/>
    </row>
    <row r="664" spans="2:13" ht="15.75">
      <c r="B664"/>
      <c r="C664"/>
      <c r="D664"/>
      <c r="E664"/>
      <c r="F664"/>
      <c r="G664"/>
      <c r="H664"/>
      <c r="I664"/>
      <c r="J664"/>
      <c r="K664"/>
      <c r="L664"/>
      <c r="M664"/>
    </row>
    <row r="665" spans="2:13" ht="15.75">
      <c r="B665"/>
      <c r="C665"/>
      <c r="D665"/>
      <c r="E665"/>
      <c r="F665"/>
      <c r="G665"/>
      <c r="H665"/>
      <c r="I665"/>
      <c r="J665"/>
      <c r="K665"/>
      <c r="L665"/>
      <c r="M665"/>
    </row>
    <row r="666" spans="2:13" ht="15.75">
      <c r="B666"/>
      <c r="C666"/>
      <c r="D666"/>
      <c r="E666"/>
      <c r="F666"/>
      <c r="G666"/>
      <c r="H666"/>
      <c r="I666"/>
      <c r="J666"/>
      <c r="K666"/>
      <c r="L666"/>
      <c r="M666"/>
    </row>
    <row r="667" spans="2:13" ht="15.75">
      <c r="B667"/>
      <c r="C667"/>
      <c r="D667"/>
      <c r="E667"/>
      <c r="F667"/>
      <c r="G667"/>
      <c r="H667"/>
      <c r="I667"/>
      <c r="J667"/>
      <c r="K667"/>
      <c r="L667"/>
      <c r="M667"/>
    </row>
    <row r="668" spans="2:13" ht="15.75">
      <c r="B668"/>
      <c r="C668"/>
      <c r="D668"/>
      <c r="E668"/>
      <c r="F668"/>
      <c r="G668"/>
      <c r="H668"/>
      <c r="I668"/>
      <c r="J668"/>
      <c r="K668"/>
      <c r="L668"/>
      <c r="M668"/>
    </row>
    <row r="669" spans="2:13" ht="15.75">
      <c r="B669"/>
      <c r="C669"/>
      <c r="D669"/>
      <c r="E669"/>
      <c r="F669"/>
      <c r="G669"/>
      <c r="H669"/>
      <c r="I669"/>
      <c r="J669"/>
      <c r="K669"/>
      <c r="L669"/>
      <c r="M669"/>
    </row>
    <row r="670" spans="2:13" ht="15.75">
      <c r="B670"/>
      <c r="C670"/>
      <c r="D670"/>
      <c r="E670"/>
      <c r="F670"/>
      <c r="G670"/>
      <c r="H670"/>
      <c r="I670"/>
      <c r="J670"/>
      <c r="K670"/>
      <c r="L670"/>
      <c r="M670"/>
    </row>
    <row r="671" spans="2:13" ht="15.75">
      <c r="B671"/>
      <c r="C671"/>
      <c r="D671"/>
      <c r="E671"/>
      <c r="F671"/>
      <c r="G671"/>
      <c r="H671"/>
      <c r="I671"/>
      <c r="J671"/>
      <c r="K671"/>
      <c r="L671"/>
      <c r="M671"/>
    </row>
    <row r="672" spans="2:13" ht="15.75">
      <c r="B672"/>
      <c r="C672"/>
      <c r="D672"/>
      <c r="E672"/>
      <c r="F672"/>
      <c r="G672"/>
      <c r="H672"/>
      <c r="I672"/>
      <c r="J672"/>
      <c r="K672"/>
      <c r="L672"/>
      <c r="M672"/>
    </row>
    <row r="673" spans="2:13" ht="15.75">
      <c r="B673"/>
      <c r="C673"/>
      <c r="D673"/>
      <c r="E673"/>
      <c r="F673"/>
      <c r="G673"/>
      <c r="H673"/>
      <c r="I673"/>
      <c r="J673"/>
      <c r="K673"/>
      <c r="L673"/>
      <c r="M673"/>
    </row>
    <row r="674" spans="2:13" ht="15.75">
      <c r="B674"/>
      <c r="C674"/>
      <c r="D674"/>
      <c r="E674"/>
      <c r="F674"/>
      <c r="G674"/>
      <c r="H674"/>
      <c r="I674"/>
      <c r="J674"/>
      <c r="K674"/>
      <c r="L674"/>
      <c r="M674"/>
    </row>
    <row r="675" spans="2:13" ht="15.75">
      <c r="B675"/>
      <c r="C675"/>
      <c r="D675"/>
      <c r="E675"/>
      <c r="F675"/>
      <c r="G675"/>
      <c r="H675"/>
      <c r="I675"/>
      <c r="J675"/>
      <c r="K675"/>
      <c r="L675"/>
      <c r="M675"/>
    </row>
    <row r="676" spans="2:13" ht="15.75">
      <c r="B676"/>
      <c r="C676"/>
      <c r="D676"/>
      <c r="E676"/>
      <c r="F676"/>
      <c r="G676"/>
      <c r="H676"/>
      <c r="I676"/>
      <c r="J676"/>
      <c r="K676"/>
      <c r="L676"/>
      <c r="M676"/>
    </row>
    <row r="677" spans="2:13" ht="15.75">
      <c r="B677"/>
      <c r="C677"/>
      <c r="D677"/>
      <c r="E677"/>
      <c r="F677"/>
      <c r="G677"/>
      <c r="H677"/>
      <c r="I677"/>
      <c r="J677"/>
      <c r="K677"/>
      <c r="L677"/>
      <c r="M677"/>
    </row>
    <row r="678" spans="2:13" ht="15.75">
      <c r="B678"/>
      <c r="C678"/>
      <c r="D678"/>
      <c r="E678"/>
      <c r="F678"/>
      <c r="G678"/>
      <c r="H678"/>
      <c r="I678"/>
      <c r="J678"/>
      <c r="K678"/>
      <c r="L678"/>
      <c r="M678"/>
    </row>
    <row r="679" spans="2:13" ht="15.75">
      <c r="B679"/>
      <c r="C679"/>
      <c r="D679"/>
      <c r="E679"/>
      <c r="F679"/>
      <c r="G679"/>
      <c r="H679"/>
      <c r="I679"/>
      <c r="J679"/>
      <c r="K679"/>
      <c r="L679"/>
      <c r="M679"/>
    </row>
    <row r="680" spans="2:13" ht="15.75">
      <c r="B680"/>
      <c r="C680"/>
      <c r="D680"/>
      <c r="E680"/>
      <c r="F680"/>
      <c r="G680"/>
      <c r="H680"/>
      <c r="I680"/>
      <c r="J680"/>
      <c r="K680"/>
      <c r="L680"/>
      <c r="M680"/>
    </row>
    <row r="681" spans="2:13" ht="15.75">
      <c r="B681"/>
      <c r="C681"/>
      <c r="D681"/>
      <c r="E681"/>
      <c r="F681"/>
      <c r="G681"/>
      <c r="H681"/>
      <c r="I681"/>
      <c r="J681"/>
      <c r="K681"/>
      <c r="L681"/>
      <c r="M681"/>
    </row>
    <row r="682" spans="2:13" ht="15.75">
      <c r="B682"/>
      <c r="C682"/>
      <c r="D682"/>
      <c r="E682"/>
      <c r="F682"/>
      <c r="G682"/>
      <c r="H682"/>
      <c r="I682"/>
      <c r="J682"/>
      <c r="K682"/>
      <c r="L682"/>
      <c r="M682"/>
    </row>
    <row r="683" spans="2:13" ht="15.75">
      <c r="B683"/>
      <c r="C683"/>
      <c r="D683"/>
      <c r="E683"/>
      <c r="F683"/>
      <c r="G683"/>
      <c r="H683"/>
      <c r="I683"/>
      <c r="J683"/>
      <c r="K683"/>
      <c r="L683"/>
      <c r="M683"/>
    </row>
    <row r="684" spans="2:13" ht="15.75">
      <c r="B684"/>
      <c r="C684"/>
      <c r="D684"/>
      <c r="E684"/>
      <c r="F684"/>
      <c r="G684"/>
      <c r="H684"/>
      <c r="I684"/>
      <c r="J684"/>
      <c r="K684"/>
      <c r="L684"/>
      <c r="M684"/>
    </row>
    <row r="685" spans="2:13" ht="15.75">
      <c r="B685"/>
      <c r="C685"/>
      <c r="D685"/>
      <c r="E685"/>
      <c r="F685"/>
      <c r="G685"/>
      <c r="H685"/>
      <c r="I685"/>
      <c r="J685"/>
      <c r="K685"/>
      <c r="L685"/>
      <c r="M685"/>
    </row>
    <row r="686" spans="2:13" ht="15.75">
      <c r="B686"/>
      <c r="C686"/>
      <c r="D686"/>
      <c r="E686"/>
      <c r="F686"/>
      <c r="G686"/>
      <c r="H686"/>
      <c r="I686"/>
      <c r="J686"/>
      <c r="K686"/>
      <c r="L686"/>
      <c r="M686"/>
    </row>
    <row r="687" spans="2:13" ht="15.75">
      <c r="B687"/>
      <c r="C687"/>
      <c r="D687"/>
      <c r="E687"/>
      <c r="F687"/>
      <c r="G687"/>
      <c r="H687"/>
      <c r="I687"/>
      <c r="J687"/>
      <c r="K687"/>
      <c r="L687"/>
      <c r="M687"/>
    </row>
    <row r="688" spans="2:13" ht="15.75">
      <c r="B688"/>
      <c r="C688"/>
      <c r="D688"/>
      <c r="E688"/>
      <c r="F688"/>
      <c r="G688"/>
      <c r="H688"/>
      <c r="I688"/>
      <c r="J688"/>
      <c r="K688"/>
      <c r="L688"/>
      <c r="M688"/>
    </row>
    <row r="689" spans="2:13" ht="15.75">
      <c r="B689"/>
      <c r="C689"/>
      <c r="D689"/>
      <c r="E689"/>
      <c r="F689"/>
      <c r="G689"/>
      <c r="H689"/>
      <c r="I689"/>
      <c r="J689"/>
      <c r="K689"/>
      <c r="L689"/>
      <c r="M689"/>
    </row>
    <row r="690" spans="2:13" ht="15.75">
      <c r="B690"/>
      <c r="C690"/>
      <c r="D690"/>
      <c r="E690"/>
      <c r="F690"/>
      <c r="G690"/>
      <c r="H690"/>
      <c r="I690"/>
      <c r="J690"/>
      <c r="K690"/>
      <c r="L690"/>
      <c r="M690"/>
    </row>
    <row r="691" spans="2:13" ht="15.75">
      <c r="B691"/>
      <c r="C691"/>
      <c r="D691"/>
      <c r="E691"/>
      <c r="F691"/>
      <c r="G691"/>
      <c r="H691"/>
      <c r="I691"/>
      <c r="J691"/>
      <c r="K691"/>
      <c r="L691"/>
      <c r="M691"/>
    </row>
    <row r="692" spans="2:13" ht="15.75">
      <c r="B692"/>
      <c r="C692"/>
      <c r="D692"/>
      <c r="E692"/>
      <c r="F692"/>
      <c r="G692"/>
      <c r="H692"/>
      <c r="I692"/>
      <c r="J692"/>
      <c r="K692"/>
      <c r="L692"/>
      <c r="M692"/>
    </row>
    <row r="693" spans="2:13" ht="15.75">
      <c r="B693"/>
      <c r="C693"/>
      <c r="D693"/>
      <c r="E693"/>
      <c r="F693"/>
      <c r="G693"/>
      <c r="H693"/>
      <c r="I693"/>
      <c r="J693"/>
      <c r="K693"/>
      <c r="L693"/>
      <c r="M693"/>
    </row>
    <row r="694" spans="2:13" ht="15.75">
      <c r="B694"/>
      <c r="C694"/>
      <c r="D694"/>
      <c r="E694"/>
      <c r="F694"/>
      <c r="G694"/>
      <c r="H694"/>
      <c r="I694"/>
      <c r="J694"/>
      <c r="K694"/>
      <c r="L694"/>
      <c r="M694"/>
    </row>
    <row r="695" spans="2:13" ht="15.75">
      <c r="B695"/>
      <c r="C695"/>
      <c r="D695"/>
      <c r="E695"/>
      <c r="F695"/>
      <c r="G695"/>
      <c r="H695"/>
      <c r="I695"/>
      <c r="J695"/>
      <c r="K695"/>
      <c r="L695"/>
      <c r="M695"/>
    </row>
    <row r="696" spans="2:13" ht="15.75">
      <c r="B696"/>
      <c r="C696"/>
      <c r="D696"/>
      <c r="E696"/>
      <c r="F696"/>
      <c r="G696"/>
      <c r="H696"/>
      <c r="I696"/>
      <c r="J696"/>
      <c r="K696"/>
      <c r="L696"/>
      <c r="M696"/>
    </row>
    <row r="697" spans="2:13" ht="15.75">
      <c r="B697"/>
      <c r="C697"/>
      <c r="D697"/>
      <c r="E697"/>
      <c r="F697"/>
      <c r="G697"/>
      <c r="H697"/>
      <c r="I697"/>
      <c r="J697"/>
      <c r="K697"/>
      <c r="L697"/>
      <c r="M697"/>
    </row>
    <row r="698" spans="2:13" ht="15.75">
      <c r="B698"/>
      <c r="C698"/>
      <c r="D698"/>
      <c r="E698"/>
      <c r="F698"/>
      <c r="G698"/>
      <c r="H698"/>
      <c r="I698"/>
      <c r="J698"/>
      <c r="K698"/>
      <c r="L698"/>
      <c r="M698"/>
    </row>
    <row r="699" spans="2:13" ht="15.75">
      <c r="B699"/>
      <c r="C699"/>
      <c r="D699"/>
      <c r="E699"/>
      <c r="F699"/>
      <c r="G699"/>
      <c r="H699"/>
      <c r="I699"/>
      <c r="J699"/>
      <c r="K699"/>
      <c r="L699"/>
      <c r="M699"/>
    </row>
    <row r="700" spans="2:13" ht="15.75">
      <c r="B700"/>
      <c r="C700"/>
      <c r="D700"/>
      <c r="E700"/>
      <c r="F700"/>
      <c r="G700"/>
      <c r="H700"/>
      <c r="I700"/>
      <c r="J700"/>
      <c r="K700"/>
      <c r="L700"/>
      <c r="M700"/>
    </row>
    <row r="701" spans="2:13" ht="15.75">
      <c r="B701"/>
      <c r="C701"/>
      <c r="D701"/>
      <c r="E701"/>
      <c r="F701"/>
      <c r="G701"/>
      <c r="H701"/>
      <c r="I701"/>
      <c r="J701"/>
      <c r="K701"/>
      <c r="L701"/>
      <c r="M701"/>
    </row>
    <row r="702" spans="2:13" ht="15.75">
      <c r="B702"/>
      <c r="C702"/>
      <c r="D702"/>
      <c r="E702"/>
      <c r="F702"/>
      <c r="G702"/>
      <c r="H702"/>
      <c r="I702"/>
      <c r="J702"/>
      <c r="K702"/>
      <c r="L702"/>
      <c r="M702"/>
    </row>
    <row r="703" spans="2:13" ht="15.75">
      <c r="B703"/>
      <c r="C703"/>
      <c r="D703"/>
      <c r="E703"/>
      <c r="F703"/>
      <c r="G703"/>
      <c r="H703"/>
      <c r="I703"/>
      <c r="J703"/>
      <c r="K703"/>
      <c r="L703"/>
      <c r="M703"/>
    </row>
    <row r="704" spans="2:13" ht="15.75">
      <c r="B704"/>
      <c r="C704"/>
      <c r="D704"/>
      <c r="E704"/>
      <c r="F704"/>
      <c r="G704"/>
      <c r="H704"/>
      <c r="I704"/>
      <c r="J704"/>
      <c r="K704"/>
      <c r="L704"/>
      <c r="M704"/>
    </row>
    <row r="705" spans="2:13" ht="15.75">
      <c r="B705"/>
      <c r="C705"/>
      <c r="D705"/>
      <c r="E705"/>
      <c r="F705"/>
      <c r="G705"/>
      <c r="H705"/>
      <c r="I705"/>
      <c r="J705"/>
      <c r="K705"/>
      <c r="L705"/>
      <c r="M705"/>
    </row>
    <row r="706" spans="2:13" ht="15.75">
      <c r="B706"/>
      <c r="C706"/>
      <c r="D706"/>
      <c r="E706"/>
      <c r="F706"/>
      <c r="G706"/>
      <c r="H706"/>
      <c r="I706"/>
      <c r="J706"/>
      <c r="K706"/>
      <c r="L706"/>
      <c r="M706"/>
    </row>
    <row r="707" spans="2:13" ht="15.75">
      <c r="B707"/>
      <c r="C707"/>
      <c r="D707"/>
      <c r="E707"/>
      <c r="F707"/>
      <c r="G707"/>
      <c r="H707"/>
      <c r="I707"/>
      <c r="J707"/>
      <c r="K707"/>
      <c r="L707"/>
      <c r="M707"/>
    </row>
    <row r="708" spans="2:13" ht="15.75">
      <c r="B708"/>
      <c r="C708"/>
      <c r="D708"/>
      <c r="E708"/>
      <c r="F708"/>
      <c r="G708"/>
      <c r="H708"/>
      <c r="I708"/>
      <c r="J708"/>
      <c r="K708"/>
      <c r="L708"/>
      <c r="M708"/>
    </row>
    <row r="709" spans="2:13" ht="15.75">
      <c r="B709"/>
      <c r="C709"/>
      <c r="D709"/>
      <c r="E709"/>
      <c r="F709"/>
      <c r="G709"/>
      <c r="H709"/>
      <c r="I709"/>
      <c r="J709"/>
      <c r="K709"/>
      <c r="L709"/>
      <c r="M709"/>
    </row>
    <row r="710" spans="2:13" ht="15.75">
      <c r="B710"/>
      <c r="C710"/>
      <c r="D710"/>
      <c r="E710"/>
      <c r="F710"/>
      <c r="G710"/>
      <c r="H710"/>
      <c r="I710"/>
      <c r="J710"/>
      <c r="K710"/>
      <c r="L710"/>
      <c r="M710"/>
    </row>
    <row r="711" spans="2:13" ht="15.75">
      <c r="B711"/>
      <c r="C711"/>
      <c r="D711"/>
      <c r="E711"/>
      <c r="F711"/>
      <c r="G711"/>
      <c r="H711"/>
      <c r="I711"/>
      <c r="J711"/>
      <c r="K711"/>
      <c r="L711"/>
      <c r="M711"/>
    </row>
    <row r="712" spans="2:13" ht="15.75">
      <c r="B712"/>
      <c r="C712"/>
      <c r="D712"/>
      <c r="E712"/>
      <c r="F712"/>
      <c r="G712"/>
      <c r="H712"/>
      <c r="I712"/>
      <c r="J712"/>
      <c r="K712"/>
      <c r="L712"/>
      <c r="M712"/>
    </row>
    <row r="713" spans="2:13" ht="15.75">
      <c r="B713"/>
      <c r="C713"/>
      <c r="D713"/>
      <c r="E713"/>
      <c r="F713"/>
      <c r="G713"/>
      <c r="H713"/>
      <c r="I713"/>
      <c r="J713"/>
      <c r="K713"/>
      <c r="L713"/>
      <c r="M713"/>
    </row>
    <row r="714" spans="2:13" ht="15.75">
      <c r="B714"/>
      <c r="C714"/>
      <c r="D714"/>
      <c r="E714"/>
      <c r="F714"/>
      <c r="G714"/>
      <c r="H714"/>
      <c r="I714"/>
      <c r="J714"/>
      <c r="K714"/>
      <c r="L714"/>
      <c r="M714"/>
    </row>
    <row r="715" spans="2:13" ht="15.75">
      <c r="B715"/>
      <c r="C715"/>
      <c r="D715"/>
      <c r="E715"/>
      <c r="F715"/>
      <c r="G715"/>
      <c r="H715"/>
      <c r="I715"/>
      <c r="J715"/>
      <c r="K715"/>
      <c r="L715"/>
      <c r="M715"/>
    </row>
    <row r="716" spans="2:13" ht="15.75">
      <c r="B716"/>
      <c r="C716"/>
      <c r="D716"/>
      <c r="E716"/>
      <c r="F716"/>
      <c r="G716"/>
      <c r="H716"/>
      <c r="I716"/>
      <c r="J716"/>
      <c r="K716"/>
      <c r="L716"/>
      <c r="M716"/>
    </row>
    <row r="717" spans="2:13" ht="15.75">
      <c r="B717"/>
      <c r="C717"/>
      <c r="D717"/>
      <c r="E717"/>
      <c r="F717"/>
      <c r="G717"/>
      <c r="H717"/>
      <c r="I717"/>
      <c r="J717"/>
      <c r="K717"/>
      <c r="L717"/>
      <c r="M717"/>
    </row>
    <row r="718" spans="2:13" ht="15.75">
      <c r="B718"/>
      <c r="C718"/>
      <c r="D718"/>
      <c r="E718"/>
      <c r="F718"/>
      <c r="G718"/>
      <c r="H718"/>
      <c r="I718"/>
      <c r="J718"/>
      <c r="K718"/>
      <c r="L718"/>
      <c r="M718"/>
    </row>
    <row r="719" spans="2:13" ht="15.75">
      <c r="B719"/>
      <c r="C719"/>
      <c r="D719"/>
      <c r="E719"/>
      <c r="F719"/>
      <c r="G719"/>
      <c r="H719"/>
      <c r="I719"/>
      <c r="J719"/>
      <c r="K719"/>
      <c r="L719"/>
      <c r="M719"/>
    </row>
    <row r="720" spans="2:13" ht="15.75">
      <c r="B720"/>
      <c r="C720"/>
      <c r="D720"/>
      <c r="E720"/>
      <c r="F720"/>
      <c r="G720"/>
      <c r="H720"/>
      <c r="I720"/>
      <c r="J720"/>
      <c r="K720"/>
      <c r="L720"/>
      <c r="M720"/>
    </row>
    <row r="721" spans="2:13" ht="15.75">
      <c r="B721"/>
      <c r="C721"/>
      <c r="D721"/>
      <c r="E721"/>
      <c r="F721"/>
      <c r="G721"/>
      <c r="H721"/>
      <c r="I721"/>
      <c r="J721"/>
      <c r="K721"/>
      <c r="L721"/>
      <c r="M721"/>
    </row>
    <row r="722" spans="2:13" ht="15.75">
      <c r="B722"/>
      <c r="C722"/>
      <c r="D722"/>
      <c r="E722"/>
      <c r="F722"/>
      <c r="G722"/>
      <c r="H722"/>
      <c r="I722"/>
      <c r="J722"/>
      <c r="K722"/>
      <c r="L722"/>
      <c r="M722"/>
    </row>
    <row r="723" spans="2:13" ht="15.75">
      <c r="B723"/>
      <c r="C723"/>
      <c r="D723"/>
      <c r="E723"/>
      <c r="F723"/>
      <c r="G723"/>
      <c r="H723"/>
      <c r="I723"/>
      <c r="J723"/>
      <c r="K723"/>
      <c r="L723"/>
      <c r="M723"/>
    </row>
    <row r="724" spans="2:13" ht="15.75">
      <c r="B724"/>
      <c r="C724"/>
      <c r="D724"/>
      <c r="E724"/>
      <c r="F724"/>
      <c r="G724"/>
      <c r="H724"/>
      <c r="I724"/>
      <c r="J724"/>
      <c r="K724"/>
      <c r="L724"/>
      <c r="M724"/>
    </row>
    <row r="725" spans="2:13" ht="15.75">
      <c r="B725"/>
      <c r="C725"/>
      <c r="D725"/>
      <c r="E725"/>
      <c r="F725"/>
      <c r="G725"/>
      <c r="H725"/>
      <c r="I725"/>
      <c r="J725"/>
      <c r="K725"/>
      <c r="L725"/>
      <c r="M725"/>
    </row>
    <row r="726" spans="2:13" ht="15.75">
      <c r="B726"/>
      <c r="C726"/>
      <c r="D726"/>
      <c r="E726"/>
      <c r="F726"/>
      <c r="G726"/>
      <c r="H726"/>
      <c r="I726"/>
      <c r="J726"/>
      <c r="K726"/>
      <c r="L726"/>
      <c r="M726"/>
    </row>
    <row r="727" spans="2:13" ht="15.75">
      <c r="B727"/>
      <c r="C727"/>
      <c r="D727"/>
      <c r="E727"/>
      <c r="F727"/>
      <c r="G727"/>
      <c r="H727"/>
      <c r="I727"/>
      <c r="J727"/>
      <c r="K727"/>
      <c r="L727"/>
      <c r="M727"/>
    </row>
    <row r="728" spans="2:13" ht="15.75">
      <c r="B728"/>
      <c r="C728"/>
      <c r="D728"/>
      <c r="E728"/>
      <c r="F728"/>
      <c r="G728"/>
      <c r="H728"/>
      <c r="I728"/>
      <c r="J728"/>
      <c r="K728"/>
      <c r="L728"/>
      <c r="M728"/>
    </row>
    <row r="729" spans="2:13" ht="15.75">
      <c r="B729"/>
      <c r="C729"/>
      <c r="D729"/>
      <c r="E729"/>
      <c r="F729"/>
      <c r="G729"/>
      <c r="H729"/>
      <c r="I729"/>
      <c r="J729"/>
      <c r="K729"/>
      <c r="L729"/>
      <c r="M729"/>
    </row>
    <row r="730" spans="2:13" ht="15.75">
      <c r="B730"/>
      <c r="C730"/>
      <c r="D730"/>
      <c r="E730"/>
      <c r="F730"/>
      <c r="G730"/>
      <c r="H730"/>
      <c r="I730"/>
      <c r="J730"/>
      <c r="K730"/>
      <c r="L730"/>
      <c r="M730"/>
    </row>
    <row r="731" spans="2:13" ht="15.75">
      <c r="B731"/>
      <c r="C731"/>
      <c r="D731"/>
      <c r="E731"/>
      <c r="F731"/>
      <c r="G731"/>
      <c r="H731"/>
      <c r="I731"/>
      <c r="J731"/>
      <c r="K731"/>
      <c r="L731"/>
      <c r="M731"/>
    </row>
    <row r="732" spans="2:13" ht="15.75">
      <c r="B732"/>
      <c r="C732"/>
      <c r="D732"/>
      <c r="E732"/>
      <c r="F732"/>
      <c r="G732"/>
      <c r="H732"/>
      <c r="I732"/>
      <c r="J732"/>
      <c r="K732"/>
      <c r="L732"/>
      <c r="M732"/>
    </row>
    <row r="733" spans="2:13" ht="15.75">
      <c r="B733"/>
      <c r="C733"/>
      <c r="D733"/>
      <c r="E733"/>
      <c r="F733"/>
      <c r="G733"/>
      <c r="H733"/>
      <c r="I733"/>
      <c r="J733"/>
      <c r="K733"/>
      <c r="L733"/>
      <c r="M733"/>
    </row>
    <row r="734" spans="2:13" ht="15.75">
      <c r="B734"/>
      <c r="C734"/>
      <c r="D734"/>
      <c r="E734"/>
      <c r="F734"/>
      <c r="G734"/>
      <c r="H734"/>
      <c r="I734"/>
      <c r="J734"/>
      <c r="K734"/>
      <c r="L734"/>
      <c r="M734"/>
    </row>
    <row r="735" spans="2:13" ht="15.75">
      <c r="B735"/>
      <c r="C735"/>
      <c r="D735"/>
      <c r="E735"/>
      <c r="F735"/>
      <c r="G735"/>
      <c r="H735"/>
      <c r="I735"/>
      <c r="J735"/>
      <c r="K735"/>
      <c r="L735"/>
      <c r="M735"/>
    </row>
    <row r="736" spans="2:13" ht="15.75">
      <c r="B736"/>
      <c r="C736"/>
      <c r="D736"/>
      <c r="E736"/>
      <c r="F736"/>
      <c r="G736"/>
      <c r="H736"/>
      <c r="I736"/>
      <c r="J736"/>
      <c r="K736"/>
      <c r="L736"/>
      <c r="M736"/>
    </row>
    <row r="737" spans="2:13" ht="15.75">
      <c r="B737"/>
      <c r="C737"/>
      <c r="D737"/>
      <c r="E737"/>
      <c r="F737"/>
      <c r="G737"/>
      <c r="H737"/>
      <c r="I737"/>
      <c r="J737"/>
      <c r="K737"/>
      <c r="L737"/>
      <c r="M737"/>
    </row>
    <row r="738" spans="2:13" ht="15.75">
      <c r="B738"/>
      <c r="C738"/>
      <c r="D738"/>
      <c r="E738"/>
      <c r="F738"/>
      <c r="G738"/>
      <c r="H738"/>
      <c r="I738"/>
      <c r="J738"/>
      <c r="K738"/>
      <c r="L738"/>
      <c r="M738"/>
    </row>
    <row r="739" spans="2:13" ht="15.75">
      <c r="B739"/>
      <c r="C739"/>
      <c r="D739"/>
      <c r="E739"/>
      <c r="F739"/>
      <c r="G739"/>
      <c r="H739"/>
      <c r="I739"/>
      <c r="J739"/>
      <c r="K739"/>
      <c r="L739"/>
      <c r="M739"/>
    </row>
    <row r="740" spans="2:13" ht="15.75">
      <c r="B740"/>
      <c r="C740"/>
      <c r="D740"/>
      <c r="E740"/>
      <c r="F740"/>
      <c r="G740"/>
      <c r="H740"/>
      <c r="I740"/>
      <c r="J740"/>
      <c r="K740"/>
      <c r="L740"/>
      <c r="M740"/>
    </row>
    <row r="741" spans="2:13" ht="15.75">
      <c r="B741"/>
      <c r="C741"/>
      <c r="D741"/>
      <c r="E741"/>
      <c r="F741"/>
      <c r="G741"/>
      <c r="H741"/>
      <c r="I741"/>
      <c r="J741"/>
      <c r="K741"/>
      <c r="L741"/>
      <c r="M741"/>
    </row>
    <row r="742" spans="2:13" ht="15.75">
      <c r="B742"/>
      <c r="C742"/>
      <c r="D742"/>
      <c r="E742"/>
      <c r="F742"/>
      <c r="G742"/>
      <c r="H742"/>
      <c r="I742"/>
      <c r="J742"/>
      <c r="K742"/>
      <c r="L742"/>
      <c r="M742"/>
    </row>
    <row r="743" spans="2:13" ht="15.75">
      <c r="B743"/>
      <c r="C743"/>
      <c r="D743"/>
      <c r="E743"/>
      <c r="F743"/>
      <c r="G743"/>
      <c r="H743"/>
      <c r="I743"/>
      <c r="J743"/>
      <c r="K743"/>
      <c r="L743"/>
      <c r="M743"/>
    </row>
    <row r="744" spans="2:13" ht="15.75">
      <c r="B744"/>
      <c r="C744"/>
      <c r="D744"/>
      <c r="E744"/>
      <c r="F744"/>
      <c r="G744"/>
      <c r="H744"/>
      <c r="I744"/>
      <c r="J744"/>
      <c r="K744"/>
      <c r="L744"/>
      <c r="M744"/>
    </row>
    <row r="745" spans="2:13" ht="15.75">
      <c r="B745"/>
      <c r="C745"/>
      <c r="D745"/>
      <c r="E745"/>
      <c r="F745"/>
      <c r="G745"/>
      <c r="H745"/>
      <c r="I745"/>
      <c r="J745"/>
      <c r="K745"/>
      <c r="L745"/>
      <c r="M745"/>
    </row>
    <row r="746" spans="2:13" ht="15.75">
      <c r="B746"/>
      <c r="C746"/>
      <c r="D746"/>
      <c r="E746"/>
      <c r="F746"/>
      <c r="G746"/>
      <c r="H746"/>
      <c r="I746"/>
      <c r="J746"/>
      <c r="K746"/>
      <c r="L746"/>
      <c r="M746"/>
    </row>
    <row r="747" spans="2:13" ht="15.75">
      <c r="B747"/>
      <c r="C747"/>
      <c r="D747"/>
      <c r="E747"/>
      <c r="F747"/>
      <c r="G747"/>
      <c r="H747"/>
      <c r="I747"/>
      <c r="J747"/>
      <c r="K747"/>
      <c r="L747"/>
      <c r="M747"/>
    </row>
    <row r="748" spans="2:13" ht="15.75">
      <c r="B748"/>
      <c r="C748"/>
      <c r="D748"/>
      <c r="E748"/>
      <c r="F748"/>
      <c r="G748"/>
      <c r="H748"/>
      <c r="I748"/>
      <c r="J748"/>
      <c r="K748"/>
      <c r="L748"/>
      <c r="M748"/>
    </row>
    <row r="749" spans="2:13" ht="15.75">
      <c r="B749"/>
      <c r="C749"/>
      <c r="D749"/>
      <c r="E749"/>
      <c r="F749"/>
      <c r="G749"/>
      <c r="H749"/>
      <c r="I749"/>
      <c r="J749"/>
      <c r="K749"/>
      <c r="L749"/>
      <c r="M749"/>
    </row>
    <row r="750" spans="2:13" ht="15.75">
      <c r="B750"/>
      <c r="C750"/>
      <c r="D750"/>
      <c r="E750"/>
      <c r="F750"/>
      <c r="G750"/>
      <c r="H750"/>
      <c r="I750"/>
      <c r="J750"/>
      <c r="K750"/>
      <c r="L750"/>
      <c r="M750"/>
    </row>
    <row r="751" spans="2:13" ht="15.75">
      <c r="B751"/>
      <c r="C751"/>
      <c r="D751"/>
      <c r="E751"/>
      <c r="F751"/>
      <c r="G751"/>
      <c r="H751"/>
      <c r="I751"/>
      <c r="J751"/>
      <c r="K751"/>
      <c r="L751"/>
      <c r="M751"/>
    </row>
    <row r="752" spans="2:13" ht="15.75">
      <c r="B752"/>
      <c r="C752"/>
      <c r="D752"/>
      <c r="E752"/>
      <c r="F752"/>
      <c r="G752"/>
      <c r="H752"/>
      <c r="I752"/>
      <c r="J752"/>
      <c r="K752"/>
      <c r="L752"/>
      <c r="M752"/>
    </row>
    <row r="753" spans="2:13" ht="15.75">
      <c r="B753"/>
      <c r="C753"/>
      <c r="D753"/>
      <c r="E753"/>
      <c r="F753"/>
      <c r="G753"/>
      <c r="H753"/>
      <c r="I753"/>
      <c r="J753"/>
      <c r="K753"/>
      <c r="L753"/>
      <c r="M753"/>
    </row>
    <row r="754" spans="2:13" ht="15.75">
      <c r="B754"/>
      <c r="C754"/>
      <c r="D754"/>
      <c r="E754"/>
      <c r="F754"/>
      <c r="G754"/>
      <c r="H754"/>
      <c r="I754"/>
      <c r="J754"/>
      <c r="K754"/>
      <c r="L754"/>
      <c r="M754"/>
    </row>
    <row r="755" spans="2:13" ht="15.75">
      <c r="B755"/>
      <c r="C755"/>
      <c r="D755"/>
      <c r="E755"/>
      <c r="F755"/>
      <c r="G755"/>
      <c r="H755"/>
      <c r="I755"/>
      <c r="J755"/>
      <c r="K755"/>
      <c r="L755"/>
      <c r="M755"/>
    </row>
    <row r="756" spans="2:13" ht="15.75">
      <c r="B756"/>
      <c r="C756"/>
      <c r="D756"/>
      <c r="E756"/>
      <c r="F756"/>
      <c r="G756"/>
      <c r="H756"/>
      <c r="I756"/>
      <c r="J756"/>
      <c r="K756"/>
      <c r="L756"/>
      <c r="M756"/>
    </row>
    <row r="757" spans="2:13" ht="15.75">
      <c r="B757"/>
      <c r="C757"/>
      <c r="D757"/>
      <c r="E757"/>
      <c r="F757"/>
      <c r="G757"/>
      <c r="H757"/>
      <c r="I757"/>
      <c r="J757"/>
      <c r="K757"/>
      <c r="L757"/>
      <c r="M757"/>
    </row>
    <row r="758" spans="2:13" ht="15.75">
      <c r="B758"/>
      <c r="C758"/>
      <c r="D758"/>
      <c r="E758"/>
      <c r="F758"/>
      <c r="G758"/>
      <c r="H758"/>
      <c r="I758"/>
      <c r="J758"/>
      <c r="K758"/>
      <c r="L758"/>
      <c r="M758"/>
    </row>
    <row r="759" spans="2:13" ht="15.75">
      <c r="B759"/>
      <c r="C759"/>
      <c r="D759"/>
      <c r="E759"/>
      <c r="F759"/>
      <c r="G759"/>
      <c r="H759"/>
      <c r="I759"/>
      <c r="J759"/>
      <c r="K759"/>
      <c r="L759"/>
      <c r="M759"/>
    </row>
    <row r="760" spans="2:13" ht="15.75">
      <c r="B760"/>
      <c r="C760"/>
      <c r="D760"/>
      <c r="E760"/>
      <c r="F760"/>
      <c r="G760"/>
      <c r="H760"/>
      <c r="I760"/>
      <c r="J760"/>
      <c r="K760"/>
      <c r="L760"/>
      <c r="M760"/>
    </row>
    <row r="761" spans="2:13" ht="15.75">
      <c r="B761"/>
      <c r="C761"/>
      <c r="D761"/>
      <c r="E761"/>
      <c r="F761"/>
      <c r="G761"/>
      <c r="H761"/>
      <c r="I761"/>
      <c r="J761"/>
      <c r="K761"/>
      <c r="L761"/>
      <c r="M761"/>
    </row>
    <row r="762" spans="2:13" ht="15.75">
      <c r="B762"/>
      <c r="C762"/>
      <c r="D762"/>
      <c r="E762"/>
      <c r="F762"/>
      <c r="G762"/>
      <c r="H762"/>
      <c r="I762"/>
      <c r="J762"/>
      <c r="K762"/>
      <c r="L762"/>
      <c r="M762"/>
    </row>
    <row r="763" spans="2:13" ht="15.75">
      <c r="B763"/>
      <c r="C763"/>
      <c r="D763"/>
      <c r="E763"/>
      <c r="F763"/>
      <c r="G763"/>
      <c r="H763"/>
      <c r="I763"/>
      <c r="J763"/>
      <c r="K763"/>
      <c r="L763"/>
      <c r="M763"/>
    </row>
    <row r="764" spans="2:13" ht="15.75">
      <c r="B764"/>
      <c r="C764"/>
      <c r="D764"/>
      <c r="E764"/>
      <c r="F764"/>
      <c r="G764"/>
      <c r="H764"/>
      <c r="I764"/>
      <c r="J764"/>
      <c r="K764"/>
      <c r="L764"/>
      <c r="M764"/>
    </row>
    <row r="765" spans="2:13" ht="15.75">
      <c r="B765"/>
      <c r="C765"/>
      <c r="D765"/>
      <c r="E765"/>
      <c r="F765"/>
      <c r="G765"/>
      <c r="H765"/>
      <c r="I765"/>
      <c r="J765"/>
      <c r="K765"/>
      <c r="L765"/>
      <c r="M765"/>
    </row>
    <row r="766" spans="2:13" ht="15.75">
      <c r="B766"/>
      <c r="C766"/>
      <c r="D766"/>
      <c r="E766"/>
      <c r="F766"/>
      <c r="G766"/>
      <c r="H766"/>
      <c r="I766"/>
      <c r="J766"/>
      <c r="K766"/>
      <c r="L766"/>
      <c r="M766"/>
    </row>
    <row r="767" spans="2:13" ht="15.75">
      <c r="B767"/>
      <c r="C767"/>
      <c r="D767"/>
      <c r="E767"/>
      <c r="F767"/>
      <c r="G767"/>
      <c r="H767"/>
      <c r="I767"/>
      <c r="J767"/>
      <c r="K767"/>
      <c r="L767"/>
      <c r="M767"/>
    </row>
    <row r="768" spans="2:13" ht="15.75">
      <c r="B768"/>
      <c r="C768"/>
      <c r="D768"/>
      <c r="E768"/>
      <c r="F768"/>
      <c r="G768"/>
      <c r="H768"/>
      <c r="I768"/>
      <c r="J768"/>
      <c r="K768"/>
      <c r="L768"/>
      <c r="M768"/>
    </row>
    <row r="769" spans="2:13" ht="15.75">
      <c r="B769"/>
      <c r="C769"/>
      <c r="D769"/>
      <c r="E769"/>
      <c r="F769"/>
      <c r="G769"/>
      <c r="H769"/>
      <c r="I769"/>
      <c r="J769"/>
      <c r="K769"/>
      <c r="L769"/>
      <c r="M769"/>
    </row>
    <row r="770" spans="2:13" ht="15.75">
      <c r="B770"/>
      <c r="C770"/>
      <c r="D770"/>
      <c r="E770"/>
      <c r="F770"/>
      <c r="G770"/>
      <c r="H770"/>
      <c r="I770"/>
      <c r="J770"/>
      <c r="K770"/>
      <c r="L770"/>
      <c r="M770"/>
    </row>
    <row r="771" spans="2:13" ht="15.75">
      <c r="B771"/>
      <c r="C771"/>
      <c r="D771"/>
      <c r="E771"/>
      <c r="F771"/>
      <c r="G771"/>
      <c r="H771"/>
      <c r="I771"/>
      <c r="J771"/>
      <c r="K771"/>
      <c r="L771"/>
      <c r="M771"/>
    </row>
    <row r="772" spans="2:13" ht="15.75">
      <c r="B772"/>
      <c r="C772"/>
      <c r="D772"/>
      <c r="E772"/>
      <c r="F772"/>
      <c r="G772"/>
      <c r="H772"/>
      <c r="I772"/>
      <c r="J772"/>
      <c r="K772"/>
      <c r="L772"/>
      <c r="M772"/>
    </row>
    <row r="773" spans="2:13" ht="15.75">
      <c r="B773"/>
      <c r="C773"/>
      <c r="D773"/>
      <c r="E773"/>
      <c r="F773"/>
      <c r="G773"/>
      <c r="H773"/>
      <c r="I773"/>
      <c r="J773"/>
      <c r="K773"/>
      <c r="L773"/>
      <c r="M773"/>
    </row>
    <row r="774" spans="2:13" ht="15.75">
      <c r="B774"/>
      <c r="C774"/>
      <c r="D774"/>
      <c r="E774"/>
      <c r="F774"/>
      <c r="G774"/>
      <c r="H774"/>
      <c r="I774"/>
      <c r="J774"/>
      <c r="K774"/>
      <c r="L774"/>
      <c r="M774"/>
    </row>
    <row r="775" spans="2:13" ht="15.75">
      <c r="B775"/>
      <c r="C775"/>
      <c r="D775"/>
      <c r="E775"/>
      <c r="F775"/>
      <c r="G775"/>
      <c r="H775"/>
      <c r="I775"/>
      <c r="J775"/>
      <c r="K775"/>
      <c r="L775"/>
      <c r="M775"/>
    </row>
    <row r="776" spans="2:13" ht="15.75">
      <c r="B776"/>
      <c r="C776"/>
      <c r="D776"/>
      <c r="E776"/>
      <c r="F776"/>
      <c r="G776"/>
      <c r="H776"/>
      <c r="I776"/>
      <c r="J776"/>
      <c r="K776"/>
      <c r="L776"/>
      <c r="M776"/>
    </row>
    <row r="777" spans="2:13" ht="15.75">
      <c r="B777"/>
      <c r="C777"/>
      <c r="D777"/>
      <c r="E777"/>
      <c r="F777"/>
      <c r="G777"/>
      <c r="H777"/>
      <c r="I777"/>
      <c r="J777"/>
      <c r="K777"/>
      <c r="L777"/>
      <c r="M777"/>
    </row>
    <row r="778" spans="2:13" ht="15.75">
      <c r="B778"/>
      <c r="C778"/>
      <c r="D778"/>
      <c r="E778"/>
      <c r="F778"/>
      <c r="G778"/>
      <c r="H778"/>
      <c r="I778"/>
      <c r="J778"/>
      <c r="K778"/>
      <c r="L778"/>
      <c r="M778"/>
    </row>
    <row r="779" spans="2:13" ht="15.75">
      <c r="B779"/>
      <c r="C779"/>
      <c r="D779"/>
      <c r="E779"/>
      <c r="F779"/>
      <c r="G779"/>
      <c r="H779"/>
      <c r="I779"/>
      <c r="J779"/>
      <c r="K779"/>
      <c r="L779"/>
      <c r="M779"/>
    </row>
    <row r="780" spans="2:13" ht="15.75">
      <c r="B780"/>
      <c r="C780"/>
      <c r="D780"/>
      <c r="E780"/>
      <c r="F780"/>
      <c r="G780"/>
      <c r="H780"/>
      <c r="I780"/>
      <c r="J780"/>
      <c r="K780"/>
      <c r="L780"/>
      <c r="M780"/>
    </row>
    <row r="781" spans="2:13" ht="15.75">
      <c r="B781"/>
      <c r="C781"/>
      <c r="D781"/>
      <c r="E781"/>
      <c r="F781"/>
      <c r="G781"/>
      <c r="H781"/>
      <c r="I781"/>
      <c r="J781"/>
      <c r="K781"/>
      <c r="L781"/>
      <c r="M781"/>
    </row>
    <row r="782" spans="2:13" ht="15.75">
      <c r="B782"/>
      <c r="C782"/>
      <c r="D782"/>
      <c r="E782"/>
      <c r="F782"/>
      <c r="G782"/>
      <c r="H782"/>
      <c r="I782"/>
      <c r="J782"/>
      <c r="K782"/>
      <c r="L782"/>
      <c r="M782"/>
    </row>
    <row r="783" spans="2:13" ht="15.75">
      <c r="B783"/>
      <c r="C783"/>
      <c r="D783"/>
      <c r="E783"/>
      <c r="F783"/>
      <c r="G783"/>
      <c r="H783"/>
      <c r="I783"/>
      <c r="J783"/>
      <c r="K783"/>
      <c r="L783"/>
      <c r="M783"/>
    </row>
    <row r="784" spans="2:13" ht="15.75">
      <c r="B784"/>
      <c r="C784"/>
      <c r="D784"/>
      <c r="E784"/>
      <c r="F784"/>
      <c r="G784"/>
      <c r="H784"/>
      <c r="I784"/>
      <c r="J784"/>
      <c r="K784"/>
      <c r="L784"/>
      <c r="M784"/>
    </row>
    <row r="785" spans="2:13" ht="15.75">
      <c r="B785"/>
      <c r="C785"/>
      <c r="D785"/>
      <c r="E785"/>
      <c r="F785"/>
      <c r="G785"/>
      <c r="H785"/>
      <c r="I785"/>
      <c r="J785"/>
      <c r="K785"/>
      <c r="L785"/>
      <c r="M785"/>
    </row>
    <row r="786" spans="2:13" ht="15.75">
      <c r="B786"/>
      <c r="C786"/>
      <c r="D786"/>
      <c r="E786"/>
      <c r="F786"/>
      <c r="G786"/>
      <c r="H786"/>
      <c r="I786"/>
      <c r="J786"/>
      <c r="K786"/>
      <c r="L786"/>
      <c r="M786"/>
    </row>
    <row r="787" spans="2:13" ht="15.75">
      <c r="B787"/>
      <c r="C787"/>
      <c r="D787"/>
      <c r="E787"/>
      <c r="F787"/>
      <c r="G787"/>
      <c r="H787"/>
      <c r="I787"/>
      <c r="J787"/>
      <c r="K787"/>
      <c r="L787"/>
      <c r="M787"/>
    </row>
    <row r="788" spans="2:13" ht="15.75">
      <c r="B788"/>
      <c r="C788"/>
      <c r="D788"/>
      <c r="E788"/>
      <c r="F788"/>
      <c r="G788"/>
      <c r="H788"/>
      <c r="I788"/>
      <c r="J788"/>
      <c r="K788"/>
      <c r="L788"/>
      <c r="M788"/>
    </row>
    <row r="789" spans="2:13" ht="15.75">
      <c r="B789"/>
      <c r="C789"/>
      <c r="D789"/>
      <c r="E789"/>
      <c r="F789"/>
      <c r="G789"/>
      <c r="H789"/>
      <c r="I789"/>
      <c r="J789"/>
      <c r="K789"/>
      <c r="L789"/>
      <c r="M789"/>
    </row>
    <row r="790" spans="2:13" ht="15.75">
      <c r="B790"/>
      <c r="C790"/>
      <c r="D790"/>
      <c r="E790"/>
      <c r="F790"/>
      <c r="G790"/>
      <c r="H790"/>
      <c r="I790"/>
      <c r="J790"/>
      <c r="K790"/>
      <c r="L790"/>
      <c r="M790"/>
    </row>
    <row r="791" spans="2:13" ht="15.75">
      <c r="B791"/>
      <c r="C791"/>
      <c r="D791"/>
      <c r="E791"/>
      <c r="F791"/>
      <c r="G791"/>
      <c r="H791"/>
      <c r="I791"/>
      <c r="J791"/>
      <c r="K791"/>
      <c r="L791"/>
      <c r="M791"/>
    </row>
    <row r="792" spans="2:13" ht="15.75">
      <c r="B792"/>
      <c r="C792"/>
      <c r="D792"/>
      <c r="E792"/>
      <c r="F792"/>
      <c r="G792"/>
      <c r="H792"/>
      <c r="I792"/>
      <c r="J792"/>
      <c r="K792"/>
      <c r="L792"/>
      <c r="M792"/>
    </row>
    <row r="793" spans="2:13" ht="15.75">
      <c r="B793"/>
      <c r="C793"/>
      <c r="D793"/>
      <c r="E793"/>
      <c r="F793"/>
      <c r="G793"/>
      <c r="H793"/>
      <c r="I793"/>
      <c r="J793"/>
      <c r="K793"/>
      <c r="L793"/>
      <c r="M793"/>
    </row>
    <row r="794" spans="2:13" ht="15.75">
      <c r="B794"/>
      <c r="C794"/>
      <c r="D794"/>
      <c r="E794"/>
      <c r="F794"/>
      <c r="G794"/>
      <c r="H794"/>
      <c r="I794"/>
      <c r="J794"/>
      <c r="K794"/>
      <c r="L794"/>
      <c r="M794"/>
    </row>
    <row r="795" spans="2:13" ht="15.75">
      <c r="B795"/>
      <c r="C795"/>
      <c r="D795"/>
      <c r="E795"/>
      <c r="F795"/>
      <c r="G795"/>
      <c r="H795"/>
      <c r="I795"/>
      <c r="J795"/>
      <c r="K795"/>
      <c r="L795"/>
      <c r="M795"/>
    </row>
    <row r="796" spans="2:13" ht="15.75">
      <c r="B796"/>
      <c r="C796"/>
      <c r="D796"/>
      <c r="E796"/>
      <c r="F796"/>
      <c r="G796"/>
      <c r="H796"/>
      <c r="I796"/>
      <c r="J796"/>
      <c r="K796"/>
      <c r="L796"/>
      <c r="M796"/>
    </row>
    <row r="797" spans="2:13" ht="15.75">
      <c r="B797"/>
      <c r="C797"/>
      <c r="D797"/>
      <c r="E797"/>
      <c r="F797"/>
      <c r="G797"/>
      <c r="H797"/>
      <c r="I797"/>
      <c r="J797"/>
      <c r="K797"/>
      <c r="L797"/>
      <c r="M797"/>
    </row>
    <row r="798" spans="2:13" ht="15.75">
      <c r="B798"/>
      <c r="C798"/>
      <c r="D798"/>
      <c r="E798"/>
      <c r="F798"/>
      <c r="G798"/>
      <c r="H798"/>
      <c r="I798"/>
      <c r="J798"/>
      <c r="K798"/>
      <c r="L798"/>
      <c r="M798"/>
    </row>
    <row r="799" spans="2:13" ht="15.75">
      <c r="B799"/>
      <c r="C799"/>
      <c r="D799"/>
      <c r="E799"/>
      <c r="F799"/>
      <c r="G799"/>
      <c r="H799"/>
      <c r="I799"/>
      <c r="J799"/>
      <c r="K799"/>
      <c r="L799"/>
      <c r="M799"/>
    </row>
    <row r="800" spans="2:13" ht="15.75">
      <c r="B800"/>
      <c r="C800"/>
      <c r="D800"/>
      <c r="E800"/>
      <c r="F800"/>
      <c r="G800"/>
      <c r="H800"/>
      <c r="I800"/>
      <c r="J800"/>
      <c r="K800"/>
      <c r="L800"/>
      <c r="M800"/>
    </row>
    <row r="801" spans="2:13" ht="15.75">
      <c r="B801"/>
      <c r="C801"/>
      <c r="D801"/>
      <c r="E801"/>
      <c r="F801"/>
      <c r="G801"/>
      <c r="H801"/>
      <c r="I801"/>
      <c r="J801"/>
      <c r="K801"/>
      <c r="L801"/>
      <c r="M801"/>
    </row>
    <row r="802" spans="2:13" ht="15.75">
      <c r="B802"/>
      <c r="C802"/>
      <c r="D802"/>
      <c r="E802"/>
      <c r="F802"/>
      <c r="G802"/>
      <c r="H802"/>
      <c r="I802"/>
      <c r="J802"/>
      <c r="K802"/>
      <c r="L802"/>
      <c r="M802"/>
    </row>
    <row r="803" spans="2:13" ht="15.75">
      <c r="B803"/>
      <c r="C803"/>
      <c r="D803"/>
      <c r="E803"/>
      <c r="F803"/>
      <c r="G803"/>
      <c r="H803"/>
      <c r="I803"/>
      <c r="J803"/>
      <c r="K803"/>
      <c r="L803"/>
      <c r="M803"/>
    </row>
    <row r="804" spans="2:13" ht="15.75">
      <c r="B804"/>
      <c r="C804"/>
      <c r="D804"/>
      <c r="E804"/>
      <c r="F804"/>
      <c r="G804"/>
      <c r="H804"/>
      <c r="I804"/>
      <c r="J804"/>
      <c r="K804"/>
      <c r="L804"/>
      <c r="M804"/>
    </row>
    <row r="805" spans="2:13" ht="15.75">
      <c r="B805"/>
      <c r="C805"/>
      <c r="D805"/>
      <c r="E805"/>
      <c r="F805"/>
      <c r="G805"/>
      <c r="H805"/>
      <c r="I805"/>
      <c r="J805"/>
      <c r="K805"/>
      <c r="L805"/>
      <c r="M805"/>
    </row>
    <row r="806" spans="2:13" ht="15.75">
      <c r="B806"/>
      <c r="C806"/>
      <c r="D806"/>
      <c r="E806"/>
      <c r="F806"/>
      <c r="G806"/>
      <c r="H806"/>
      <c r="I806"/>
      <c r="J806"/>
      <c r="K806"/>
      <c r="L806"/>
      <c r="M806"/>
    </row>
    <row r="807" spans="2:13" ht="15.75">
      <c r="B807"/>
      <c r="C807"/>
      <c r="D807"/>
      <c r="E807"/>
      <c r="F807"/>
      <c r="G807"/>
      <c r="H807"/>
      <c r="I807"/>
      <c r="J807"/>
      <c r="K807"/>
      <c r="L807"/>
      <c r="M807"/>
    </row>
    <row r="808" spans="2:13" ht="15.75">
      <c r="B808"/>
      <c r="C808"/>
      <c r="D808"/>
      <c r="E808"/>
      <c r="F808"/>
      <c r="G808"/>
      <c r="H808"/>
      <c r="I808"/>
      <c r="J808"/>
      <c r="K808"/>
      <c r="L808"/>
      <c r="M808"/>
    </row>
    <row r="809" spans="2:13" ht="15.75">
      <c r="B809"/>
      <c r="C809"/>
      <c r="D809"/>
      <c r="E809"/>
      <c r="F809"/>
      <c r="G809"/>
      <c r="H809"/>
      <c r="I809"/>
      <c r="J809"/>
      <c r="K809"/>
      <c r="L809"/>
      <c r="M809"/>
    </row>
    <row r="810" spans="2:13" ht="15.75">
      <c r="B810"/>
      <c r="C810"/>
      <c r="D810"/>
      <c r="E810"/>
      <c r="F810"/>
      <c r="G810"/>
      <c r="H810"/>
      <c r="I810"/>
      <c r="J810"/>
      <c r="K810"/>
      <c r="L810"/>
      <c r="M810"/>
    </row>
    <row r="811" spans="2:13" ht="15.75">
      <c r="B811"/>
      <c r="C811"/>
      <c r="D811"/>
      <c r="E811"/>
      <c r="F811"/>
      <c r="G811"/>
      <c r="H811"/>
      <c r="I811"/>
      <c r="J811"/>
      <c r="K811"/>
      <c r="L811"/>
      <c r="M811"/>
    </row>
    <row r="812" spans="2:13" ht="15.75">
      <c r="B812"/>
      <c r="C812"/>
      <c r="D812"/>
      <c r="E812"/>
      <c r="F812"/>
      <c r="G812"/>
      <c r="H812"/>
      <c r="I812"/>
      <c r="J812"/>
      <c r="K812"/>
      <c r="L812"/>
      <c r="M812"/>
    </row>
    <row r="813" spans="2:13" ht="15.75">
      <c r="B813"/>
      <c r="C813"/>
      <c r="D813"/>
      <c r="E813"/>
      <c r="F813"/>
      <c r="G813"/>
      <c r="H813"/>
      <c r="I813"/>
      <c r="J813"/>
      <c r="K813"/>
      <c r="L813"/>
      <c r="M813"/>
    </row>
    <row r="814" spans="2:13" ht="15.75">
      <c r="B814"/>
      <c r="C814"/>
      <c r="D814"/>
      <c r="E814"/>
      <c r="F814"/>
      <c r="G814"/>
      <c r="H814"/>
      <c r="I814"/>
      <c r="J814"/>
      <c r="K814"/>
      <c r="L814"/>
      <c r="M814"/>
    </row>
    <row r="815" spans="2:13" ht="15.75">
      <c r="B815"/>
      <c r="C815"/>
      <c r="D815"/>
      <c r="E815"/>
      <c r="F815"/>
      <c r="G815"/>
      <c r="H815"/>
      <c r="I815"/>
      <c r="J815"/>
      <c r="K815"/>
      <c r="L815"/>
      <c r="M815"/>
    </row>
    <row r="816" spans="2:13" ht="15.75">
      <c r="B816"/>
      <c r="C816"/>
      <c r="D816"/>
      <c r="E816"/>
      <c r="F816"/>
      <c r="G816"/>
      <c r="H816"/>
      <c r="I816"/>
      <c r="J816"/>
      <c r="K816"/>
      <c r="L816"/>
      <c r="M816"/>
    </row>
    <row r="817" spans="2:13" ht="15.75">
      <c r="B817"/>
      <c r="C817"/>
      <c r="D817"/>
      <c r="E817"/>
      <c r="F817"/>
      <c r="G817"/>
      <c r="H817"/>
      <c r="I817"/>
      <c r="J817"/>
      <c r="K817"/>
      <c r="L817"/>
      <c r="M817"/>
    </row>
    <row r="818" spans="2:13" ht="15.75">
      <c r="B818"/>
      <c r="C818"/>
      <c r="D818"/>
      <c r="E818"/>
      <c r="F818"/>
      <c r="G818"/>
      <c r="H818"/>
      <c r="I818"/>
      <c r="J818"/>
      <c r="K818"/>
      <c r="L818"/>
      <c r="M818"/>
    </row>
    <row r="819" spans="2:13" ht="15.75">
      <c r="B819"/>
      <c r="C819"/>
      <c r="D819"/>
      <c r="E819"/>
      <c r="F819"/>
      <c r="G819"/>
      <c r="H819"/>
      <c r="I819"/>
      <c r="J819"/>
      <c r="K819"/>
      <c r="L819"/>
      <c r="M819"/>
    </row>
    <row r="820" spans="2:13" ht="15.75">
      <c r="B820"/>
      <c r="C820"/>
      <c r="D820"/>
      <c r="E820"/>
      <c r="F820"/>
      <c r="G820"/>
      <c r="H820"/>
      <c r="I820"/>
      <c r="J820"/>
      <c r="K820"/>
      <c r="L820"/>
      <c r="M820"/>
    </row>
    <row r="821" spans="2:13" ht="15.75">
      <c r="B821"/>
      <c r="C821"/>
      <c r="D821"/>
      <c r="E821"/>
      <c r="F821"/>
      <c r="G821"/>
      <c r="H821"/>
      <c r="I821"/>
      <c r="J821"/>
      <c r="K821"/>
      <c r="L821"/>
      <c r="M821"/>
    </row>
    <row r="822" spans="2:13" ht="15.75">
      <c r="B822"/>
      <c r="C822"/>
      <c r="D822"/>
      <c r="E822"/>
      <c r="F822"/>
      <c r="G822"/>
      <c r="H822"/>
      <c r="I822"/>
      <c r="J822"/>
      <c r="K822"/>
      <c r="L822"/>
      <c r="M822"/>
    </row>
    <row r="823" spans="2:13" ht="15.75">
      <c r="B823"/>
      <c r="C823"/>
      <c r="D823"/>
      <c r="E823"/>
      <c r="F823"/>
      <c r="G823"/>
      <c r="H823"/>
      <c r="I823"/>
      <c r="J823"/>
      <c r="K823"/>
      <c r="L823"/>
      <c r="M823"/>
    </row>
    <row r="824" spans="2:13" ht="15.75">
      <c r="B824"/>
      <c r="C824"/>
      <c r="D824"/>
      <c r="E824"/>
      <c r="F824"/>
      <c r="G824"/>
      <c r="H824"/>
      <c r="I824"/>
      <c r="J824"/>
      <c r="K824"/>
      <c r="L824"/>
      <c r="M824"/>
    </row>
    <row r="825" spans="2:13" ht="15.75">
      <c r="B825"/>
      <c r="C825"/>
      <c r="D825"/>
      <c r="E825"/>
      <c r="F825"/>
      <c r="G825"/>
      <c r="H825"/>
      <c r="I825"/>
      <c r="J825"/>
      <c r="K825"/>
      <c r="L825"/>
      <c r="M825"/>
    </row>
    <row r="826" spans="2:13" ht="15.75">
      <c r="B826"/>
      <c r="C826"/>
      <c r="D826"/>
      <c r="E826"/>
      <c r="F826"/>
      <c r="G826"/>
      <c r="H826"/>
      <c r="I826"/>
      <c r="J826"/>
      <c r="K826"/>
      <c r="L826"/>
      <c r="M826"/>
    </row>
    <row r="827" spans="2:13" ht="15.75">
      <c r="B827"/>
      <c r="C827"/>
      <c r="D827"/>
      <c r="E827"/>
      <c r="F827"/>
      <c r="G827"/>
      <c r="H827"/>
      <c r="I827"/>
      <c r="J827"/>
      <c r="K827"/>
      <c r="L827"/>
      <c r="M827"/>
    </row>
    <row r="828" spans="2:13" ht="15.75">
      <c r="B828"/>
      <c r="C828"/>
      <c r="D828"/>
      <c r="E828"/>
      <c r="F828"/>
      <c r="G828"/>
      <c r="H828"/>
      <c r="I828"/>
      <c r="J828"/>
      <c r="K828"/>
      <c r="L828"/>
      <c r="M828"/>
    </row>
    <row r="829" spans="2:13" ht="15.75">
      <c r="B829"/>
      <c r="C829"/>
      <c r="D829"/>
      <c r="E829"/>
      <c r="F829"/>
      <c r="G829"/>
      <c r="H829"/>
      <c r="I829"/>
      <c r="J829"/>
      <c r="K829"/>
      <c r="L829"/>
      <c r="M829"/>
    </row>
    <row r="830" spans="2:13" ht="15.75">
      <c r="B830"/>
      <c r="C830"/>
      <c r="D830"/>
      <c r="E830"/>
      <c r="F830"/>
      <c r="G830"/>
      <c r="H830"/>
      <c r="I830"/>
      <c r="J830"/>
      <c r="K830"/>
      <c r="L830"/>
      <c r="M830"/>
    </row>
    <row r="831" spans="2:13" ht="15.75">
      <c r="B831"/>
      <c r="C831"/>
      <c r="D831"/>
      <c r="E831"/>
      <c r="F831"/>
      <c r="G831"/>
      <c r="H831"/>
      <c r="I831"/>
      <c r="J831"/>
      <c r="K831"/>
      <c r="L831"/>
      <c r="M831"/>
    </row>
    <row r="832" spans="2:13" ht="15.75">
      <c r="B832"/>
      <c r="C832"/>
      <c r="D832"/>
      <c r="E832"/>
      <c r="F832"/>
      <c r="G832"/>
      <c r="H832"/>
      <c r="I832"/>
      <c r="J832"/>
      <c r="K832"/>
      <c r="L832"/>
      <c r="M832"/>
    </row>
    <row r="833" spans="2:13" ht="15.75">
      <c r="B833"/>
      <c r="C833"/>
      <c r="D833"/>
      <c r="E833"/>
      <c r="F833"/>
      <c r="G833"/>
      <c r="H833"/>
      <c r="I833"/>
      <c r="J833"/>
      <c r="K833"/>
      <c r="L833"/>
      <c r="M833"/>
    </row>
    <row r="834" spans="2:13" ht="15.75">
      <c r="B834"/>
      <c r="C834"/>
      <c r="D834"/>
      <c r="E834"/>
      <c r="F834"/>
      <c r="G834"/>
      <c r="H834"/>
      <c r="I834"/>
      <c r="J834"/>
      <c r="K834"/>
      <c r="L834"/>
      <c r="M834"/>
    </row>
    <row r="835" spans="2:13" ht="15.75">
      <c r="B835"/>
      <c r="C835"/>
      <c r="D835"/>
      <c r="E835"/>
      <c r="F835"/>
      <c r="G835"/>
      <c r="H835"/>
      <c r="I835"/>
      <c r="J835"/>
      <c r="K835"/>
      <c r="L835"/>
      <c r="M835"/>
    </row>
    <row r="836" spans="2:13" ht="15.75">
      <c r="B836"/>
      <c r="C836"/>
      <c r="D836"/>
      <c r="E836"/>
      <c r="F836"/>
      <c r="G836"/>
      <c r="H836"/>
      <c r="I836"/>
      <c r="J836"/>
      <c r="K836"/>
      <c r="L836"/>
      <c r="M836"/>
    </row>
    <row r="837" spans="2:13" ht="15.75">
      <c r="B837"/>
      <c r="C837"/>
      <c r="D837"/>
      <c r="E837"/>
      <c r="F837"/>
      <c r="G837"/>
      <c r="H837"/>
      <c r="I837"/>
      <c r="J837"/>
      <c r="K837"/>
      <c r="L837"/>
      <c r="M837"/>
    </row>
    <row r="838" spans="2:13" ht="15.75">
      <c r="B838"/>
      <c r="C838"/>
      <c r="D838"/>
      <c r="E838"/>
      <c r="F838"/>
      <c r="G838"/>
      <c r="H838"/>
      <c r="I838"/>
      <c r="J838"/>
      <c r="K838"/>
      <c r="L838"/>
      <c r="M838"/>
    </row>
    <row r="839" spans="2:13" ht="15.75">
      <c r="B839"/>
      <c r="C839"/>
      <c r="D839"/>
      <c r="E839"/>
      <c r="F839"/>
      <c r="G839"/>
      <c r="H839"/>
      <c r="I839"/>
      <c r="J839"/>
      <c r="K839"/>
      <c r="L839"/>
      <c r="M839"/>
    </row>
    <row r="840" spans="2:13" ht="15.75">
      <c r="B840"/>
      <c r="C840"/>
      <c r="D840"/>
      <c r="E840"/>
      <c r="F840"/>
      <c r="G840"/>
      <c r="H840"/>
      <c r="I840"/>
      <c r="J840"/>
      <c r="K840"/>
      <c r="L840"/>
      <c r="M840"/>
    </row>
    <row r="841" spans="2:13" ht="15.75">
      <c r="B841"/>
      <c r="C841"/>
      <c r="D841"/>
      <c r="E841"/>
      <c r="F841"/>
      <c r="G841"/>
      <c r="H841"/>
      <c r="I841"/>
      <c r="J841"/>
      <c r="K841"/>
      <c r="L841"/>
      <c r="M841"/>
    </row>
    <row r="842" spans="2:13" ht="15.75">
      <c r="B842"/>
      <c r="C842"/>
      <c r="D842"/>
      <c r="E842"/>
      <c r="F842"/>
      <c r="G842"/>
      <c r="H842"/>
      <c r="I842"/>
      <c r="J842"/>
      <c r="K842"/>
      <c r="L842"/>
      <c r="M842"/>
    </row>
    <row r="843" spans="2:13" ht="15.75">
      <c r="B843"/>
      <c r="C843"/>
      <c r="D843"/>
      <c r="E843"/>
      <c r="F843"/>
      <c r="G843"/>
      <c r="H843"/>
      <c r="I843"/>
      <c r="J843"/>
      <c r="K843"/>
      <c r="L843"/>
      <c r="M843"/>
    </row>
    <row r="844" spans="2:13" ht="15.75">
      <c r="B844"/>
      <c r="C844"/>
      <c r="D844"/>
      <c r="E844"/>
      <c r="F844"/>
      <c r="G844"/>
      <c r="H844"/>
      <c r="I844"/>
      <c r="J844"/>
      <c r="K844"/>
      <c r="L844"/>
      <c r="M844"/>
    </row>
    <row r="845" spans="2:13" ht="15.75">
      <c r="B845"/>
      <c r="C845"/>
      <c r="D845"/>
      <c r="E845"/>
      <c r="F845"/>
      <c r="G845"/>
      <c r="H845"/>
      <c r="I845"/>
      <c r="J845"/>
      <c r="K845"/>
      <c r="L845"/>
      <c r="M845"/>
    </row>
    <row r="846" spans="2:13" ht="15.75">
      <c r="B846"/>
      <c r="C846"/>
      <c r="D846"/>
      <c r="E846"/>
      <c r="F846"/>
      <c r="G846"/>
      <c r="H846"/>
      <c r="I846"/>
      <c r="J846"/>
      <c r="K846"/>
      <c r="L846"/>
      <c r="M846"/>
    </row>
    <row r="847" spans="2:13" ht="15.75">
      <c r="B847"/>
      <c r="C847"/>
      <c r="D847"/>
      <c r="E847"/>
      <c r="F847"/>
      <c r="G847"/>
      <c r="H847"/>
      <c r="I847"/>
      <c r="J847"/>
      <c r="K847"/>
      <c r="L847"/>
      <c r="M847"/>
    </row>
    <row r="848" spans="2:13" ht="15.75">
      <c r="B848"/>
      <c r="C848"/>
      <c r="D848"/>
      <c r="E848"/>
      <c r="F848"/>
      <c r="G848"/>
      <c r="H848"/>
      <c r="I848"/>
      <c r="J848"/>
      <c r="K848"/>
      <c r="L848"/>
      <c r="M848"/>
    </row>
    <row r="849" spans="2:13" ht="15.75">
      <c r="B849"/>
      <c r="C849"/>
      <c r="D849"/>
      <c r="E849"/>
      <c r="F849"/>
      <c r="G849"/>
      <c r="H849"/>
      <c r="I849"/>
      <c r="J849"/>
      <c r="K849"/>
      <c r="L849"/>
      <c r="M849"/>
    </row>
    <row r="850" spans="2:13" ht="15.75">
      <c r="B850"/>
      <c r="C850"/>
      <c r="D850"/>
      <c r="E850"/>
      <c r="F850"/>
      <c r="G850"/>
      <c r="H850"/>
      <c r="I850"/>
      <c r="J850"/>
      <c r="K850"/>
      <c r="L850"/>
      <c r="M850"/>
    </row>
    <row r="851" spans="2:13" ht="15.75">
      <c r="B851"/>
      <c r="C851"/>
      <c r="D851"/>
      <c r="E851"/>
      <c r="F851"/>
      <c r="G851"/>
      <c r="H851"/>
      <c r="I851"/>
      <c r="J851"/>
      <c r="K851"/>
      <c r="L851"/>
      <c r="M851"/>
    </row>
    <row r="852" spans="2:13" ht="15.75">
      <c r="B852"/>
      <c r="C852"/>
      <c r="D852"/>
      <c r="E852"/>
      <c r="F852"/>
      <c r="G852"/>
      <c r="H852"/>
      <c r="I852"/>
      <c r="J852"/>
      <c r="K852"/>
      <c r="L852"/>
      <c r="M852"/>
    </row>
    <row r="853" spans="2:13" ht="15.75">
      <c r="B853"/>
      <c r="C853"/>
      <c r="D853"/>
      <c r="E853"/>
      <c r="F853"/>
      <c r="G853"/>
      <c r="H853"/>
      <c r="I853"/>
      <c r="J853"/>
      <c r="K853"/>
      <c r="L853"/>
      <c r="M853"/>
    </row>
    <row r="854" spans="2:13" ht="15.75">
      <c r="B854"/>
      <c r="C854"/>
      <c r="D854"/>
      <c r="E854"/>
      <c r="F854"/>
      <c r="G854"/>
      <c r="H854"/>
      <c r="I854"/>
      <c r="J854"/>
      <c r="K854"/>
      <c r="L854"/>
      <c r="M854"/>
    </row>
    <row r="855" spans="2:13" ht="15.75">
      <c r="B855"/>
      <c r="C855"/>
      <c r="D855"/>
      <c r="E855"/>
      <c r="F855"/>
      <c r="G855"/>
      <c r="H855"/>
      <c r="I855"/>
      <c r="J855"/>
      <c r="K855"/>
      <c r="L855"/>
      <c r="M855"/>
    </row>
    <row r="856" spans="2:13" ht="15.75">
      <c r="B856"/>
      <c r="C856"/>
      <c r="D856"/>
      <c r="E856"/>
      <c r="F856"/>
      <c r="G856"/>
      <c r="H856"/>
      <c r="I856"/>
      <c r="J856"/>
      <c r="K856"/>
      <c r="L856"/>
      <c r="M856"/>
    </row>
    <row r="857" spans="2:13" ht="15.75">
      <c r="B857"/>
      <c r="C857"/>
      <c r="D857"/>
      <c r="E857"/>
      <c r="F857"/>
      <c r="G857"/>
      <c r="H857"/>
      <c r="I857"/>
      <c r="J857"/>
      <c r="K857"/>
      <c r="L857"/>
      <c r="M857"/>
    </row>
    <row r="858" spans="2:13" ht="15.75">
      <c r="B858"/>
      <c r="C858"/>
      <c r="D858"/>
      <c r="E858"/>
      <c r="F858"/>
      <c r="G858"/>
      <c r="H858"/>
      <c r="I858"/>
      <c r="J858"/>
      <c r="K858"/>
      <c r="L858"/>
      <c r="M858"/>
    </row>
    <row r="859" spans="2:13" ht="15.75">
      <c r="B859"/>
      <c r="C859"/>
      <c r="D859"/>
      <c r="E859"/>
      <c r="F859"/>
      <c r="G859"/>
      <c r="H859"/>
      <c r="I859"/>
      <c r="J859"/>
      <c r="K859"/>
      <c r="L859"/>
      <c r="M859"/>
    </row>
    <row r="860" spans="2:13" ht="15.75">
      <c r="B860"/>
      <c r="C860"/>
      <c r="D860"/>
      <c r="E860"/>
      <c r="F860"/>
      <c r="G860"/>
      <c r="H860"/>
      <c r="I860"/>
      <c r="J860"/>
      <c r="K860"/>
      <c r="L860"/>
      <c r="M860"/>
    </row>
    <row r="861" spans="2:13" ht="15.75">
      <c r="B861"/>
      <c r="C861"/>
      <c r="D861"/>
      <c r="E861"/>
      <c r="F861"/>
      <c r="G861"/>
      <c r="H861"/>
      <c r="I861"/>
      <c r="J861"/>
      <c r="K861"/>
      <c r="L861"/>
      <c r="M861"/>
    </row>
    <row r="862" spans="2:13" ht="15.75">
      <c r="B862"/>
      <c r="C862"/>
      <c r="D862"/>
      <c r="E862"/>
      <c r="F862"/>
      <c r="G862"/>
      <c r="H862"/>
      <c r="I862"/>
      <c r="J862"/>
      <c r="K862"/>
      <c r="L862"/>
      <c r="M862"/>
    </row>
    <row r="863" spans="2:13" ht="15.75">
      <c r="B863"/>
      <c r="C863"/>
      <c r="D863"/>
      <c r="E863"/>
      <c r="F863"/>
      <c r="G863"/>
      <c r="H863"/>
      <c r="I863"/>
      <c r="J863"/>
      <c r="K863"/>
      <c r="L863"/>
      <c r="M863"/>
    </row>
    <row r="864" spans="2:13" ht="15.75">
      <c r="B864"/>
      <c r="C864"/>
      <c r="D864"/>
      <c r="E864"/>
      <c r="F864"/>
      <c r="G864"/>
      <c r="H864"/>
      <c r="I864"/>
      <c r="J864"/>
      <c r="K864"/>
      <c r="L864"/>
      <c r="M864"/>
    </row>
    <row r="865" spans="2:13" ht="15.75">
      <c r="B865"/>
      <c r="C865"/>
      <c r="D865"/>
      <c r="E865"/>
      <c r="F865"/>
      <c r="G865"/>
      <c r="H865"/>
      <c r="I865"/>
      <c r="J865"/>
      <c r="K865"/>
      <c r="L865"/>
      <c r="M865"/>
    </row>
    <row r="866" spans="2:13" ht="15.75">
      <c r="B866"/>
      <c r="C866"/>
      <c r="D866"/>
      <c r="E866"/>
      <c r="F866"/>
      <c r="G866"/>
      <c r="H866"/>
      <c r="I866"/>
      <c r="J866"/>
      <c r="K866"/>
      <c r="L866"/>
      <c r="M866"/>
    </row>
    <row r="867" spans="2:13" ht="15.75">
      <c r="B867"/>
      <c r="C867"/>
      <c r="D867"/>
      <c r="E867"/>
      <c r="F867"/>
      <c r="G867"/>
      <c r="H867"/>
      <c r="I867"/>
      <c r="J867"/>
      <c r="K867"/>
      <c r="L867"/>
      <c r="M867"/>
    </row>
    <row r="868" spans="2:13" ht="15.75">
      <c r="B868"/>
      <c r="C868"/>
      <c r="D868"/>
      <c r="E868"/>
      <c r="F868"/>
      <c r="G868"/>
      <c r="H868"/>
      <c r="I868"/>
      <c r="J868"/>
      <c r="K868"/>
      <c r="L868"/>
      <c r="M868"/>
    </row>
    <row r="869" spans="2:13" ht="15.75">
      <c r="B869"/>
      <c r="C869"/>
      <c r="D869"/>
      <c r="E869"/>
      <c r="F869"/>
      <c r="G869"/>
      <c r="H869"/>
      <c r="I869"/>
      <c r="J869"/>
      <c r="K869"/>
      <c r="L869"/>
      <c r="M869"/>
    </row>
    <row r="870" spans="2:13" ht="15.75">
      <c r="B870"/>
      <c r="C870"/>
      <c r="D870"/>
      <c r="E870"/>
      <c r="F870"/>
      <c r="G870"/>
      <c r="H870"/>
      <c r="I870"/>
      <c r="J870"/>
      <c r="K870"/>
      <c r="L870"/>
      <c r="M870"/>
    </row>
    <row r="871" spans="2:13" ht="15.75">
      <c r="B871"/>
      <c r="C871"/>
      <c r="D871"/>
      <c r="E871"/>
      <c r="F871"/>
      <c r="G871"/>
      <c r="H871"/>
      <c r="I871"/>
      <c r="J871"/>
      <c r="K871"/>
      <c r="L871"/>
      <c r="M871"/>
    </row>
    <row r="872" spans="2:13" ht="15.75">
      <c r="B872"/>
      <c r="C872"/>
      <c r="D872"/>
      <c r="E872"/>
      <c r="F872"/>
      <c r="G872"/>
      <c r="H872"/>
      <c r="I872"/>
      <c r="J872"/>
      <c r="K872"/>
      <c r="L872"/>
      <c r="M872"/>
    </row>
    <row r="873" spans="2:13" ht="15.75">
      <c r="B873"/>
      <c r="C873"/>
      <c r="D873"/>
      <c r="E873"/>
      <c r="F873"/>
      <c r="G873"/>
      <c r="H873"/>
      <c r="I873"/>
      <c r="J873"/>
      <c r="K873"/>
      <c r="L873"/>
      <c r="M873"/>
    </row>
    <row r="874" spans="2:13" ht="15.75">
      <c r="B874"/>
      <c r="C874"/>
      <c r="D874"/>
      <c r="E874"/>
      <c r="F874"/>
      <c r="G874"/>
      <c r="H874"/>
      <c r="I874"/>
      <c r="J874"/>
      <c r="K874"/>
      <c r="L874"/>
      <c r="M874"/>
    </row>
    <row r="875" spans="2:13" ht="15.75">
      <c r="B875"/>
      <c r="C875"/>
      <c r="D875"/>
      <c r="E875"/>
      <c r="F875"/>
      <c r="G875"/>
      <c r="H875"/>
      <c r="I875"/>
      <c r="J875"/>
      <c r="K875"/>
      <c r="L875"/>
      <c r="M875"/>
    </row>
    <row r="876" spans="2:13" ht="15.75">
      <c r="B876"/>
      <c r="C876"/>
      <c r="D876"/>
      <c r="E876"/>
      <c r="F876"/>
      <c r="G876"/>
      <c r="H876"/>
      <c r="I876"/>
      <c r="J876"/>
      <c r="K876"/>
      <c r="L876"/>
      <c r="M876"/>
    </row>
    <row r="877" spans="2:13" ht="15.75">
      <c r="B877"/>
      <c r="C877"/>
      <c r="D877"/>
      <c r="E877"/>
      <c r="F877"/>
      <c r="G877"/>
      <c r="H877"/>
      <c r="I877"/>
      <c r="J877"/>
      <c r="K877"/>
      <c r="L877"/>
      <c r="M877"/>
    </row>
    <row r="878" spans="2:13" ht="15.75">
      <c r="B878"/>
      <c r="C878"/>
      <c r="D878"/>
      <c r="E878"/>
      <c r="F878"/>
      <c r="G878"/>
      <c r="H878"/>
      <c r="I878"/>
      <c r="J878"/>
      <c r="K878"/>
      <c r="L878"/>
      <c r="M878"/>
    </row>
    <row r="879" spans="2:13" ht="15.75">
      <c r="B879"/>
      <c r="C879"/>
      <c r="D879"/>
      <c r="E879"/>
      <c r="F879"/>
      <c r="G879"/>
      <c r="H879"/>
      <c r="I879"/>
      <c r="J879"/>
      <c r="K879"/>
      <c r="L879"/>
      <c r="M879"/>
    </row>
    <row r="880" spans="2:13" ht="15.75">
      <c r="B880"/>
      <c r="C880"/>
      <c r="D880"/>
      <c r="E880"/>
      <c r="F880"/>
      <c r="G880"/>
      <c r="H880"/>
      <c r="I880"/>
      <c r="J880"/>
      <c r="K880"/>
      <c r="L880"/>
      <c r="M880"/>
    </row>
    <row r="881" spans="2:13" ht="15.75">
      <c r="B881"/>
      <c r="C881"/>
      <c r="D881"/>
      <c r="E881"/>
      <c r="F881"/>
      <c r="G881"/>
      <c r="H881"/>
      <c r="I881"/>
      <c r="J881"/>
      <c r="K881"/>
      <c r="L881"/>
      <c r="M881"/>
    </row>
    <row r="882" spans="2:13" ht="15.75">
      <c r="B882"/>
      <c r="C882"/>
      <c r="D882"/>
      <c r="E882"/>
      <c r="F882"/>
      <c r="G882"/>
      <c r="H882"/>
      <c r="I882"/>
      <c r="J882"/>
      <c r="K882"/>
      <c r="L882"/>
      <c r="M882"/>
    </row>
    <row r="883" spans="2:13" ht="15.75">
      <c r="B883"/>
      <c r="C883"/>
      <c r="D883"/>
      <c r="E883"/>
      <c r="F883"/>
      <c r="G883"/>
      <c r="H883"/>
      <c r="I883"/>
      <c r="J883"/>
      <c r="K883"/>
      <c r="L883"/>
      <c r="M883"/>
    </row>
    <row r="884" spans="2:13" ht="15.75">
      <c r="B884"/>
      <c r="C884"/>
      <c r="D884"/>
      <c r="E884"/>
      <c r="F884"/>
      <c r="G884"/>
      <c r="H884"/>
      <c r="I884"/>
      <c r="J884"/>
      <c r="K884"/>
      <c r="L884"/>
      <c r="M884"/>
    </row>
    <row r="885" spans="2:13" ht="15.75">
      <c r="B885"/>
      <c r="C885"/>
      <c r="D885"/>
      <c r="E885"/>
      <c r="F885"/>
      <c r="G885"/>
      <c r="H885"/>
      <c r="I885"/>
      <c r="J885"/>
      <c r="K885"/>
      <c r="L885"/>
      <c r="M885"/>
    </row>
    <row r="886" spans="2:13" ht="15.75">
      <c r="B886"/>
      <c r="C886"/>
      <c r="D886"/>
      <c r="E886"/>
      <c r="F886"/>
      <c r="G886"/>
      <c r="H886"/>
      <c r="I886"/>
      <c r="J886"/>
      <c r="K886"/>
      <c r="L886"/>
      <c r="M886"/>
    </row>
    <row r="887" spans="2:13" ht="15.75">
      <c r="B887"/>
      <c r="C887"/>
      <c r="D887"/>
      <c r="E887"/>
      <c r="F887"/>
      <c r="G887"/>
      <c r="H887"/>
      <c r="I887"/>
      <c r="J887"/>
      <c r="K887"/>
      <c r="L887"/>
      <c r="M887"/>
    </row>
    <row r="888" spans="2:13" ht="15.75">
      <c r="B888"/>
      <c r="C888"/>
      <c r="D888"/>
      <c r="E888"/>
      <c r="F888"/>
      <c r="G888"/>
      <c r="H888"/>
      <c r="I888"/>
      <c r="J888"/>
      <c r="K888"/>
      <c r="L888"/>
      <c r="M888"/>
    </row>
    <row r="889" spans="2:13" ht="15.75">
      <c r="B889"/>
      <c r="C889"/>
      <c r="D889"/>
      <c r="E889"/>
      <c r="F889"/>
      <c r="G889"/>
      <c r="H889"/>
      <c r="I889"/>
      <c r="J889"/>
      <c r="K889"/>
      <c r="L889"/>
      <c r="M889"/>
    </row>
    <row r="890" spans="2:13" ht="15.75">
      <c r="B890"/>
      <c r="C890"/>
      <c r="D890"/>
      <c r="E890"/>
      <c r="F890"/>
      <c r="G890"/>
      <c r="H890"/>
      <c r="I890"/>
      <c r="J890"/>
      <c r="K890"/>
      <c r="L890"/>
      <c r="M890"/>
    </row>
    <row r="891" spans="2:13" ht="15.75">
      <c r="B891"/>
      <c r="C891"/>
      <c r="D891"/>
      <c r="E891"/>
      <c r="F891"/>
      <c r="G891"/>
      <c r="H891"/>
      <c r="I891"/>
      <c r="J891"/>
      <c r="K891"/>
      <c r="L891"/>
      <c r="M891"/>
    </row>
    <row r="892" spans="2:13" ht="15.75">
      <c r="B892"/>
      <c r="C892"/>
      <c r="D892"/>
      <c r="E892"/>
      <c r="F892"/>
      <c r="G892"/>
      <c r="H892"/>
      <c r="I892"/>
      <c r="J892"/>
      <c r="K892"/>
      <c r="L892"/>
      <c r="M892"/>
    </row>
    <row r="893" spans="2:13" ht="15.75">
      <c r="B893"/>
      <c r="C893"/>
      <c r="D893"/>
      <c r="E893"/>
      <c r="F893"/>
      <c r="G893"/>
      <c r="H893"/>
      <c r="I893"/>
      <c r="J893"/>
      <c r="K893"/>
      <c r="L893"/>
      <c r="M893"/>
    </row>
    <row r="894" spans="2:13" ht="15.75">
      <c r="B894"/>
      <c r="C894"/>
      <c r="D894"/>
      <c r="E894"/>
      <c r="F894"/>
      <c r="G894"/>
      <c r="H894"/>
      <c r="I894"/>
      <c r="J894"/>
      <c r="K894"/>
      <c r="L894"/>
      <c r="M894"/>
    </row>
    <row r="895" spans="2:13" ht="15.75">
      <c r="B895"/>
      <c r="C895"/>
      <c r="D895"/>
      <c r="E895"/>
      <c r="F895"/>
      <c r="G895"/>
      <c r="H895"/>
      <c r="I895"/>
      <c r="J895"/>
      <c r="K895"/>
      <c r="L895"/>
      <c r="M895"/>
    </row>
    <row r="896" spans="2:13" ht="15.75">
      <c r="B896"/>
      <c r="C896"/>
      <c r="D896"/>
      <c r="E896"/>
      <c r="F896"/>
      <c r="G896"/>
      <c r="H896"/>
      <c r="I896"/>
      <c r="J896"/>
      <c r="K896"/>
      <c r="L896"/>
      <c r="M896"/>
    </row>
    <row r="897" spans="2:13" ht="15.75">
      <c r="B897"/>
      <c r="C897"/>
      <c r="D897"/>
      <c r="E897"/>
      <c r="F897"/>
      <c r="G897"/>
      <c r="H897"/>
      <c r="I897"/>
      <c r="J897"/>
      <c r="K897"/>
      <c r="L897"/>
      <c r="M897"/>
    </row>
    <row r="898" spans="2:13" ht="15.75">
      <c r="B898"/>
      <c r="C898"/>
      <c r="D898"/>
      <c r="E898"/>
      <c r="F898"/>
      <c r="G898"/>
      <c r="H898"/>
      <c r="I898"/>
      <c r="J898"/>
      <c r="K898"/>
      <c r="L898"/>
      <c r="M898"/>
    </row>
    <row r="899" spans="2:13" ht="15.75">
      <c r="B899"/>
      <c r="C899"/>
      <c r="D899"/>
      <c r="E899"/>
      <c r="F899"/>
      <c r="G899"/>
      <c r="H899"/>
      <c r="I899"/>
      <c r="J899"/>
      <c r="K899"/>
      <c r="L899"/>
      <c r="M899"/>
    </row>
    <row r="900" spans="2:13" ht="15.75">
      <c r="B900"/>
      <c r="C900"/>
      <c r="D900"/>
      <c r="E900"/>
      <c r="F900"/>
      <c r="G900"/>
      <c r="H900"/>
      <c r="I900"/>
      <c r="J900"/>
      <c r="K900"/>
      <c r="L900"/>
      <c r="M900"/>
    </row>
    <row r="901" spans="2:13" ht="15.75">
      <c r="B901"/>
      <c r="C901"/>
      <c r="D901"/>
      <c r="E901"/>
      <c r="F901"/>
      <c r="G901"/>
      <c r="H901"/>
      <c r="I901"/>
      <c r="J901"/>
      <c r="K901"/>
      <c r="L901"/>
      <c r="M901"/>
    </row>
    <row r="902" spans="2:13" ht="15.75">
      <c r="B902"/>
      <c r="C902"/>
      <c r="D902"/>
      <c r="E902"/>
      <c r="F902"/>
      <c r="G902"/>
      <c r="H902"/>
      <c r="I902"/>
      <c r="J902"/>
      <c r="K902"/>
      <c r="L902"/>
      <c r="M902"/>
    </row>
    <row r="903" spans="2:13" ht="15.75">
      <c r="B903"/>
      <c r="C903"/>
      <c r="D903"/>
      <c r="E903"/>
      <c r="F903"/>
      <c r="G903"/>
      <c r="H903"/>
      <c r="I903"/>
      <c r="J903"/>
      <c r="K903"/>
      <c r="L903"/>
      <c r="M903"/>
    </row>
    <row r="904" spans="2:13" ht="15.75">
      <c r="B904"/>
      <c r="C904"/>
      <c r="D904"/>
      <c r="E904"/>
      <c r="F904"/>
      <c r="G904"/>
      <c r="H904"/>
      <c r="I904"/>
      <c r="J904"/>
      <c r="K904"/>
      <c r="L904"/>
      <c r="M904"/>
    </row>
    <row r="905" spans="2:13" ht="15.75">
      <c r="B905"/>
      <c r="C905"/>
      <c r="D905"/>
      <c r="E905"/>
      <c r="F905"/>
      <c r="G905"/>
      <c r="H905"/>
      <c r="I905"/>
      <c r="J905"/>
      <c r="K905"/>
      <c r="L905"/>
      <c r="M905"/>
    </row>
    <row r="906" spans="2:13" ht="15.75">
      <c r="B906"/>
      <c r="C906"/>
      <c r="D906"/>
      <c r="E906"/>
      <c r="F906"/>
      <c r="G906"/>
      <c r="H906"/>
      <c r="I906"/>
      <c r="J906"/>
      <c r="K906"/>
      <c r="L906"/>
      <c r="M906"/>
    </row>
    <row r="907" spans="2:13" ht="15.75">
      <c r="B907"/>
      <c r="C907"/>
      <c r="D907"/>
      <c r="E907"/>
      <c r="F907"/>
      <c r="G907"/>
      <c r="H907"/>
      <c r="I907"/>
      <c r="J907"/>
      <c r="K907"/>
      <c r="L907"/>
      <c r="M907"/>
    </row>
    <row r="908" spans="2:13" ht="15.75">
      <c r="B908"/>
      <c r="C908"/>
      <c r="D908"/>
      <c r="E908"/>
      <c r="F908"/>
      <c r="G908"/>
      <c r="H908"/>
      <c r="I908"/>
      <c r="J908"/>
      <c r="K908"/>
      <c r="L908"/>
      <c r="M908"/>
    </row>
    <row r="909" spans="2:13" ht="15.75">
      <c r="B909"/>
      <c r="C909"/>
      <c r="D909"/>
      <c r="E909"/>
      <c r="F909"/>
      <c r="G909"/>
      <c r="H909"/>
      <c r="I909"/>
      <c r="J909"/>
      <c r="K909"/>
      <c r="L909"/>
      <c r="M909"/>
    </row>
    <row r="910" spans="2:13" ht="15.75">
      <c r="B910"/>
      <c r="C910"/>
      <c r="D910"/>
      <c r="E910"/>
      <c r="F910"/>
      <c r="G910"/>
      <c r="H910"/>
      <c r="I910"/>
      <c r="J910"/>
      <c r="K910"/>
      <c r="L910"/>
      <c r="M910"/>
    </row>
    <row r="911" spans="2:13" ht="15.75">
      <c r="B911"/>
      <c r="C911"/>
      <c r="D911"/>
      <c r="E911"/>
      <c r="F911"/>
      <c r="G911"/>
      <c r="H911"/>
      <c r="I911"/>
      <c r="J911"/>
      <c r="K911"/>
      <c r="L911"/>
      <c r="M911"/>
    </row>
    <row r="912" spans="2:13" ht="15.75">
      <c r="B912"/>
      <c r="C912"/>
      <c r="D912"/>
      <c r="E912"/>
      <c r="F912"/>
      <c r="G912"/>
      <c r="H912"/>
      <c r="I912"/>
      <c r="J912"/>
      <c r="K912"/>
      <c r="L912"/>
      <c r="M912"/>
    </row>
    <row r="913" spans="2:13" ht="15.75">
      <c r="B913"/>
      <c r="C913"/>
      <c r="D913"/>
      <c r="E913"/>
      <c r="F913"/>
      <c r="G913"/>
      <c r="H913"/>
      <c r="I913"/>
      <c r="J913"/>
      <c r="K913"/>
      <c r="L913"/>
      <c r="M913"/>
    </row>
    <row r="914" spans="2:13" ht="15.75">
      <c r="B914"/>
      <c r="C914"/>
      <c r="D914"/>
      <c r="E914"/>
      <c r="F914"/>
      <c r="G914"/>
      <c r="H914"/>
      <c r="I914"/>
      <c r="J914"/>
      <c r="K914"/>
      <c r="L914"/>
      <c r="M914"/>
    </row>
    <row r="915" spans="2:13" ht="15.75">
      <c r="B915"/>
      <c r="C915"/>
      <c r="D915"/>
      <c r="E915"/>
      <c r="F915"/>
      <c r="G915"/>
      <c r="H915"/>
      <c r="I915"/>
      <c r="J915"/>
      <c r="K915"/>
      <c r="L915"/>
      <c r="M915"/>
    </row>
    <row r="916" spans="2:13" ht="15.75">
      <c r="B916"/>
      <c r="C916"/>
      <c r="D916"/>
      <c r="E916"/>
      <c r="F916"/>
      <c r="G916"/>
      <c r="H916"/>
      <c r="I916"/>
      <c r="J916"/>
      <c r="K916"/>
      <c r="L916"/>
      <c r="M916"/>
    </row>
    <row r="917" spans="2:13" ht="15.75">
      <c r="B917"/>
      <c r="C917"/>
      <c r="D917"/>
      <c r="E917"/>
      <c r="F917"/>
      <c r="G917"/>
      <c r="H917"/>
      <c r="I917"/>
      <c r="J917"/>
      <c r="K917"/>
      <c r="L917"/>
      <c r="M917"/>
    </row>
    <row r="918" spans="2:13" ht="15.75">
      <c r="B918"/>
      <c r="C918"/>
      <c r="D918"/>
      <c r="E918"/>
      <c r="F918"/>
      <c r="G918"/>
      <c r="H918"/>
      <c r="I918"/>
      <c r="J918"/>
      <c r="K918"/>
      <c r="L918"/>
      <c r="M918"/>
    </row>
    <row r="919" spans="2:13" ht="15.75">
      <c r="B919"/>
      <c r="C919"/>
      <c r="D919"/>
      <c r="E919"/>
      <c r="F919"/>
      <c r="G919"/>
      <c r="H919"/>
      <c r="I919"/>
      <c r="J919"/>
      <c r="K919"/>
      <c r="L919"/>
      <c r="M919"/>
    </row>
    <row r="920" spans="2:13" ht="15.75">
      <c r="B920"/>
      <c r="C920"/>
      <c r="D920"/>
      <c r="E920"/>
      <c r="F920"/>
      <c r="G920"/>
      <c r="H920"/>
      <c r="I920"/>
      <c r="J920"/>
      <c r="K920"/>
      <c r="L920"/>
      <c r="M920"/>
    </row>
    <row r="921" spans="2:13" ht="15.75">
      <c r="B921"/>
      <c r="C921"/>
      <c r="D921"/>
      <c r="E921"/>
      <c r="F921"/>
      <c r="G921"/>
      <c r="H921"/>
      <c r="I921"/>
      <c r="J921"/>
      <c r="K921"/>
      <c r="L921"/>
      <c r="M921"/>
    </row>
    <row r="922" spans="2:13" ht="15.75">
      <c r="B922"/>
      <c r="C922"/>
      <c r="D922"/>
      <c r="E922"/>
      <c r="F922"/>
      <c r="G922"/>
      <c r="H922"/>
      <c r="I922"/>
      <c r="J922"/>
      <c r="K922"/>
      <c r="L922"/>
      <c r="M922"/>
    </row>
    <row r="923" spans="2:13" ht="15.75">
      <c r="B923"/>
      <c r="C923"/>
      <c r="D923"/>
      <c r="E923"/>
      <c r="F923"/>
      <c r="G923"/>
      <c r="H923"/>
      <c r="I923"/>
      <c r="J923"/>
      <c r="K923"/>
      <c r="L923"/>
      <c r="M923"/>
    </row>
    <row r="924" spans="2:13" ht="15.75">
      <c r="B924"/>
      <c r="C924"/>
      <c r="D924"/>
      <c r="E924"/>
      <c r="F924"/>
      <c r="G924"/>
      <c r="H924"/>
      <c r="I924"/>
      <c r="J924"/>
      <c r="K924"/>
      <c r="L924"/>
      <c r="M924"/>
    </row>
    <row r="925" spans="2:13" ht="15.75">
      <c r="B925"/>
      <c r="C925"/>
      <c r="D925"/>
      <c r="E925"/>
      <c r="F925"/>
      <c r="G925"/>
      <c r="H925"/>
      <c r="I925"/>
      <c r="J925"/>
      <c r="K925"/>
      <c r="L925"/>
      <c r="M925"/>
    </row>
    <row r="926" spans="2:13" ht="15.75">
      <c r="B926"/>
      <c r="C926"/>
      <c r="D926"/>
      <c r="E926"/>
      <c r="F926"/>
      <c r="G926"/>
      <c r="H926"/>
      <c r="I926"/>
      <c r="J926"/>
      <c r="K926"/>
      <c r="L926"/>
      <c r="M926"/>
    </row>
    <row r="927" spans="2:13" ht="15.75">
      <c r="B927"/>
      <c r="C927"/>
      <c r="D927"/>
      <c r="E927"/>
      <c r="F927"/>
      <c r="G927"/>
      <c r="H927"/>
      <c r="I927"/>
      <c r="J927"/>
      <c r="K927"/>
      <c r="L927"/>
      <c r="M927"/>
    </row>
    <row r="928" spans="2:13" ht="15.75">
      <c r="B928"/>
      <c r="C928"/>
      <c r="D928"/>
      <c r="E928"/>
      <c r="F928"/>
      <c r="G928"/>
      <c r="H928"/>
      <c r="I928"/>
      <c r="J928"/>
      <c r="K928"/>
      <c r="L928"/>
      <c r="M928"/>
    </row>
    <row r="929" spans="2:13" ht="15.75">
      <c r="B929"/>
      <c r="C929"/>
      <c r="D929"/>
      <c r="E929"/>
      <c r="F929"/>
      <c r="G929"/>
      <c r="H929"/>
      <c r="I929"/>
      <c r="J929"/>
      <c r="K929"/>
      <c r="L929"/>
      <c r="M929"/>
    </row>
    <row r="930" spans="2:13" ht="15.75">
      <c r="B930"/>
      <c r="C930"/>
      <c r="D930"/>
      <c r="E930"/>
      <c r="F930"/>
      <c r="G930"/>
      <c r="H930"/>
      <c r="I930"/>
      <c r="J930"/>
      <c r="K930"/>
      <c r="L930"/>
      <c r="M930"/>
    </row>
    <row r="931" spans="2:13" ht="15.75">
      <c r="B931"/>
      <c r="C931"/>
      <c r="D931"/>
      <c r="E931"/>
      <c r="F931"/>
      <c r="G931"/>
      <c r="H931"/>
      <c r="I931"/>
      <c r="J931"/>
      <c r="K931"/>
      <c r="L931"/>
      <c r="M931"/>
    </row>
    <row r="932" spans="2:13" ht="15.75">
      <c r="B932"/>
      <c r="C932"/>
      <c r="D932"/>
      <c r="E932"/>
      <c r="F932"/>
      <c r="G932"/>
      <c r="H932"/>
      <c r="I932"/>
      <c r="J932"/>
      <c r="K932"/>
      <c r="L932"/>
      <c r="M932"/>
    </row>
    <row r="933" spans="2:13" ht="15.75">
      <c r="B933"/>
      <c r="C933"/>
      <c r="D933"/>
      <c r="E933"/>
      <c r="F933"/>
      <c r="G933"/>
      <c r="H933"/>
      <c r="I933"/>
      <c r="J933"/>
      <c r="K933"/>
      <c r="L933"/>
      <c r="M933"/>
    </row>
    <row r="934" spans="2:13" ht="15.75">
      <c r="B934"/>
      <c r="C934"/>
      <c r="D934"/>
      <c r="E934"/>
      <c r="F934"/>
      <c r="G934"/>
      <c r="H934"/>
      <c r="I934"/>
      <c r="J934"/>
      <c r="K934"/>
      <c r="L934"/>
      <c r="M934"/>
    </row>
    <row r="935" spans="2:13" ht="15.75">
      <c r="B935"/>
      <c r="C935"/>
      <c r="D935"/>
      <c r="E935"/>
      <c r="F935"/>
      <c r="G935"/>
      <c r="H935"/>
      <c r="I935"/>
      <c r="J935"/>
      <c r="K935"/>
      <c r="L935"/>
      <c r="M935"/>
    </row>
    <row r="936" spans="2:13" ht="15.75">
      <c r="B936"/>
      <c r="C936"/>
      <c r="D936"/>
      <c r="E936"/>
      <c r="F936"/>
      <c r="G936"/>
      <c r="H936"/>
      <c r="I936"/>
      <c r="J936"/>
      <c r="K936"/>
      <c r="L936"/>
      <c r="M936"/>
    </row>
    <row r="937" spans="2:13" ht="15.75">
      <c r="B937"/>
      <c r="C937"/>
      <c r="D937"/>
      <c r="E937"/>
      <c r="F937"/>
      <c r="G937"/>
      <c r="H937"/>
      <c r="I937"/>
      <c r="J937"/>
      <c r="K937"/>
      <c r="L937"/>
      <c r="M937"/>
    </row>
    <row r="938" spans="2:13" ht="15.75">
      <c r="B938"/>
      <c r="C938"/>
      <c r="D938"/>
      <c r="E938"/>
      <c r="F938"/>
      <c r="G938"/>
      <c r="H938"/>
      <c r="I938"/>
      <c r="J938"/>
      <c r="K938"/>
      <c r="L938"/>
      <c r="M938"/>
    </row>
    <row r="939" spans="2:13" ht="15.75">
      <c r="B939"/>
      <c r="C939"/>
      <c r="D939"/>
      <c r="E939"/>
      <c r="F939"/>
      <c r="G939"/>
      <c r="H939"/>
      <c r="I939"/>
      <c r="J939"/>
      <c r="K939"/>
      <c r="L939"/>
      <c r="M939"/>
    </row>
    <row r="940" spans="2:13" ht="15.75">
      <c r="B940"/>
      <c r="C940"/>
      <c r="D940"/>
      <c r="E940"/>
      <c r="F940"/>
      <c r="G940"/>
      <c r="H940"/>
      <c r="I940"/>
      <c r="J940"/>
      <c r="K940"/>
      <c r="L940"/>
      <c r="M940"/>
    </row>
    <row r="941" spans="2:13" ht="15.75">
      <c r="B941"/>
      <c r="C941"/>
      <c r="D941"/>
      <c r="E941"/>
      <c r="F941"/>
      <c r="G941"/>
      <c r="H941"/>
      <c r="I941"/>
      <c r="J941"/>
      <c r="K941"/>
      <c r="L941"/>
      <c r="M941"/>
    </row>
    <row r="942" spans="2:13" ht="15.75">
      <c r="B942"/>
      <c r="C942"/>
      <c r="D942"/>
      <c r="E942"/>
      <c r="F942"/>
      <c r="G942"/>
      <c r="H942"/>
      <c r="I942"/>
      <c r="J942"/>
      <c r="K942"/>
      <c r="L942"/>
      <c r="M942"/>
    </row>
    <row r="943" spans="2:13" ht="15.75">
      <c r="B943"/>
      <c r="C943"/>
      <c r="D943"/>
      <c r="E943"/>
      <c r="F943"/>
      <c r="G943"/>
      <c r="H943"/>
      <c r="I943"/>
      <c r="J943"/>
      <c r="K943"/>
      <c r="L943"/>
      <c r="M943"/>
    </row>
    <row r="944" spans="2:13" ht="15.75">
      <c r="B944"/>
      <c r="C944"/>
      <c r="D944"/>
      <c r="E944"/>
      <c r="F944"/>
      <c r="G944"/>
      <c r="H944"/>
      <c r="I944"/>
      <c r="J944"/>
      <c r="K944"/>
      <c r="L944"/>
      <c r="M944"/>
    </row>
    <row r="945" spans="2:13" ht="15.75">
      <c r="B945"/>
      <c r="C945"/>
      <c r="D945"/>
      <c r="E945"/>
      <c r="F945"/>
      <c r="G945"/>
      <c r="H945"/>
      <c r="I945"/>
      <c r="J945"/>
      <c r="K945"/>
      <c r="L945"/>
      <c r="M945"/>
    </row>
    <row r="946" spans="2:13" ht="15.75">
      <c r="B946"/>
      <c r="C946"/>
      <c r="D946"/>
      <c r="E946"/>
      <c r="F946"/>
      <c r="G946"/>
      <c r="H946"/>
      <c r="I946"/>
      <c r="J946"/>
      <c r="K946"/>
      <c r="L946"/>
      <c r="M946"/>
    </row>
    <row r="947" spans="2:13" ht="15.75">
      <c r="B947"/>
      <c r="C947"/>
      <c r="D947"/>
      <c r="E947"/>
      <c r="F947"/>
      <c r="G947"/>
      <c r="H947"/>
      <c r="I947"/>
      <c r="J947"/>
      <c r="K947"/>
      <c r="L947"/>
      <c r="M947"/>
    </row>
    <row r="948" spans="2:13" ht="15.75">
      <c r="B948"/>
      <c r="C948"/>
      <c r="D948"/>
      <c r="E948"/>
      <c r="F948"/>
      <c r="G948"/>
      <c r="H948"/>
      <c r="I948"/>
      <c r="J948"/>
      <c r="K948"/>
      <c r="L948"/>
      <c r="M948"/>
    </row>
    <row r="949" spans="2:13" ht="15.75">
      <c r="B949"/>
      <c r="C949"/>
      <c r="D949"/>
      <c r="E949"/>
      <c r="F949"/>
      <c r="G949"/>
      <c r="H949"/>
      <c r="I949"/>
      <c r="J949"/>
      <c r="K949"/>
      <c r="L949"/>
      <c r="M949"/>
    </row>
    <row r="950" spans="2:13" ht="15.75">
      <c r="B950"/>
      <c r="C950"/>
      <c r="D950"/>
      <c r="E950"/>
      <c r="F950"/>
      <c r="G950"/>
      <c r="H950"/>
      <c r="I950"/>
      <c r="J950"/>
      <c r="K950"/>
      <c r="L950"/>
      <c r="M950"/>
    </row>
    <row r="951" spans="2:13" ht="15.75">
      <c r="B951"/>
      <c r="C951"/>
      <c r="D951"/>
      <c r="E951"/>
      <c r="F951"/>
      <c r="G951"/>
      <c r="H951"/>
      <c r="I951"/>
      <c r="J951"/>
      <c r="K951"/>
      <c r="L951"/>
      <c r="M951"/>
    </row>
    <row r="952" spans="2:13" ht="15.75">
      <c r="B952"/>
      <c r="C952"/>
      <c r="D952"/>
      <c r="E952"/>
      <c r="F952"/>
      <c r="G952"/>
      <c r="H952"/>
      <c r="I952"/>
      <c r="J952"/>
      <c r="K952"/>
      <c r="L952"/>
      <c r="M952"/>
    </row>
    <row r="953" spans="2:13" ht="15.75">
      <c r="B953"/>
      <c r="C953"/>
      <c r="D953"/>
      <c r="E953"/>
      <c r="F953"/>
      <c r="G953"/>
      <c r="H953"/>
      <c r="I953"/>
      <c r="J953"/>
      <c r="K953"/>
      <c r="L953"/>
      <c r="M953"/>
    </row>
    <row r="954" spans="2:13" ht="15.75">
      <c r="B954"/>
      <c r="C954"/>
      <c r="D954"/>
      <c r="E954"/>
      <c r="F954"/>
      <c r="G954"/>
      <c r="H954"/>
      <c r="I954"/>
      <c r="J954"/>
      <c r="K954"/>
      <c r="L954"/>
      <c r="M954"/>
    </row>
    <row r="955" spans="2:13" ht="15.75">
      <c r="B955"/>
      <c r="C955"/>
      <c r="D955"/>
      <c r="E955"/>
      <c r="F955"/>
      <c r="G955"/>
      <c r="H955"/>
      <c r="I955"/>
      <c r="J955"/>
      <c r="K955"/>
      <c r="L955"/>
      <c r="M955"/>
    </row>
    <row r="956" spans="2:13" ht="15.75">
      <c r="B956"/>
      <c r="C956"/>
      <c r="D956"/>
      <c r="E956"/>
      <c r="F956"/>
      <c r="G956"/>
      <c r="H956"/>
      <c r="I956"/>
      <c r="J956"/>
      <c r="K956"/>
      <c r="L956"/>
      <c r="M956"/>
    </row>
    <row r="957" spans="2:13" ht="15.75">
      <c r="B957"/>
      <c r="C957"/>
      <c r="D957"/>
      <c r="E957"/>
      <c r="F957"/>
      <c r="G957"/>
      <c r="H957"/>
      <c r="I957"/>
      <c r="J957"/>
      <c r="K957"/>
      <c r="L957"/>
      <c r="M957"/>
    </row>
    <row r="958" spans="2:13" ht="15.75">
      <c r="B958"/>
      <c r="C958"/>
      <c r="D958"/>
      <c r="E958"/>
      <c r="F958"/>
      <c r="G958"/>
      <c r="H958"/>
      <c r="I958"/>
      <c r="J958"/>
      <c r="K958"/>
      <c r="L958"/>
      <c r="M958"/>
    </row>
    <row r="959" spans="2:13" ht="15.75">
      <c r="B959"/>
      <c r="C959"/>
      <c r="D959"/>
      <c r="E959"/>
      <c r="F959"/>
      <c r="G959"/>
      <c r="H959"/>
      <c r="I959"/>
      <c r="J959"/>
      <c r="K959"/>
      <c r="L959"/>
      <c r="M959"/>
    </row>
    <row r="960" spans="2:13" ht="15.75">
      <c r="B960"/>
      <c r="C960"/>
      <c r="D960"/>
      <c r="E960"/>
      <c r="F960"/>
      <c r="G960"/>
      <c r="H960"/>
      <c r="I960"/>
      <c r="J960"/>
      <c r="K960"/>
      <c r="L960"/>
      <c r="M960"/>
    </row>
    <row r="961" spans="2:13" ht="15.75">
      <c r="B961"/>
      <c r="C961"/>
      <c r="D961"/>
      <c r="E961"/>
      <c r="F961"/>
      <c r="G961"/>
      <c r="H961"/>
      <c r="I961"/>
      <c r="J961"/>
      <c r="K961"/>
      <c r="L961"/>
      <c r="M961"/>
    </row>
    <row r="962" spans="2:13" ht="15.75">
      <c r="B962"/>
      <c r="C962"/>
      <c r="D962"/>
      <c r="E962"/>
      <c r="F962"/>
      <c r="G962"/>
      <c r="H962"/>
      <c r="I962"/>
      <c r="J962"/>
      <c r="K962"/>
      <c r="L962"/>
      <c r="M962"/>
    </row>
    <row r="963" spans="2:13" ht="15.75">
      <c r="B963"/>
      <c r="C963"/>
      <c r="D963"/>
      <c r="E963"/>
      <c r="F963"/>
      <c r="G963"/>
      <c r="H963"/>
      <c r="I963"/>
      <c r="J963"/>
      <c r="K963"/>
      <c r="L963"/>
      <c r="M963"/>
    </row>
    <row r="964" spans="2:13" ht="15.75">
      <c r="B964"/>
      <c r="C964"/>
      <c r="D964"/>
      <c r="E964"/>
      <c r="F964"/>
      <c r="G964"/>
      <c r="H964"/>
      <c r="I964"/>
      <c r="J964"/>
      <c r="K964"/>
      <c r="L964"/>
      <c r="M964"/>
    </row>
    <row r="965" spans="2:13" ht="15.75">
      <c r="B965"/>
      <c r="C965"/>
      <c r="D965"/>
      <c r="E965"/>
      <c r="F965"/>
      <c r="G965"/>
      <c r="H965"/>
      <c r="I965"/>
      <c r="J965"/>
      <c r="K965"/>
      <c r="L965"/>
      <c r="M965"/>
    </row>
    <row r="966" spans="2:13" ht="15.75">
      <c r="B966"/>
      <c r="C966"/>
      <c r="D966"/>
      <c r="E966"/>
      <c r="F966"/>
      <c r="G966"/>
      <c r="H966"/>
      <c r="I966"/>
      <c r="J966"/>
      <c r="K966"/>
      <c r="L966"/>
      <c r="M966"/>
    </row>
    <row r="967" spans="2:13" ht="15.75">
      <c r="B967"/>
      <c r="C967"/>
      <c r="D967"/>
      <c r="E967"/>
      <c r="F967"/>
      <c r="G967"/>
      <c r="H967"/>
      <c r="I967"/>
      <c r="J967"/>
      <c r="K967"/>
      <c r="L967"/>
      <c r="M967"/>
    </row>
    <row r="968" spans="2:13" ht="15.75">
      <c r="B968"/>
      <c r="C968"/>
      <c r="D968"/>
      <c r="E968"/>
      <c r="F968"/>
      <c r="G968"/>
      <c r="H968"/>
      <c r="I968"/>
      <c r="J968"/>
      <c r="K968"/>
      <c r="L968"/>
      <c r="M968"/>
    </row>
    <row r="969" spans="2:13" ht="15.75">
      <c r="B969"/>
      <c r="C969"/>
      <c r="D969"/>
      <c r="E969"/>
      <c r="F969"/>
      <c r="G969"/>
      <c r="H969"/>
      <c r="I969"/>
      <c r="J969"/>
      <c r="K969"/>
      <c r="L969"/>
      <c r="M969"/>
    </row>
    <row r="970" spans="2:13" ht="15.75">
      <c r="B970"/>
      <c r="C970"/>
      <c r="D970"/>
      <c r="E970"/>
      <c r="F970"/>
      <c r="G970"/>
      <c r="H970"/>
      <c r="I970"/>
      <c r="J970"/>
      <c r="K970"/>
      <c r="L970"/>
      <c r="M970"/>
    </row>
    <row r="971" spans="2:13" ht="15.75">
      <c r="B971"/>
      <c r="C971"/>
      <c r="D971"/>
      <c r="E971"/>
      <c r="F971"/>
      <c r="G971"/>
      <c r="H971"/>
      <c r="I971"/>
      <c r="J971"/>
      <c r="K971"/>
      <c r="L971"/>
      <c r="M971"/>
    </row>
    <row r="972" spans="2:13" ht="15.75">
      <c r="B972"/>
      <c r="C972"/>
      <c r="D972"/>
      <c r="E972"/>
      <c r="F972"/>
      <c r="G972"/>
      <c r="H972"/>
      <c r="I972"/>
      <c r="J972"/>
      <c r="K972"/>
      <c r="L972"/>
      <c r="M972"/>
    </row>
    <row r="973" spans="2:13" ht="15.75">
      <c r="B973"/>
      <c r="C973"/>
      <c r="D973"/>
      <c r="E973"/>
      <c r="F973"/>
      <c r="G973"/>
      <c r="H973"/>
      <c r="I973"/>
      <c r="J973"/>
      <c r="K973"/>
      <c r="L973"/>
      <c r="M973"/>
    </row>
    <row r="974" spans="2:13" ht="15.75">
      <c r="B974"/>
      <c r="C974"/>
      <c r="D974"/>
      <c r="E974"/>
      <c r="F974"/>
      <c r="G974"/>
      <c r="H974"/>
      <c r="I974"/>
      <c r="J974"/>
      <c r="K974"/>
      <c r="L974"/>
      <c r="M974"/>
    </row>
    <row r="975" spans="2:13" ht="15.75">
      <c r="B975"/>
      <c r="C975"/>
      <c r="D975"/>
      <c r="E975"/>
      <c r="F975"/>
      <c r="G975"/>
      <c r="H975"/>
      <c r="I975"/>
      <c r="J975"/>
      <c r="K975"/>
      <c r="L975"/>
      <c r="M975"/>
    </row>
    <row r="976" spans="2:13" ht="15.75">
      <c r="B976"/>
      <c r="C976"/>
      <c r="D976"/>
      <c r="E976"/>
      <c r="F976"/>
      <c r="G976"/>
      <c r="H976"/>
      <c r="I976"/>
      <c r="J976"/>
      <c r="K976"/>
      <c r="L976"/>
      <c r="M976"/>
    </row>
    <row r="977" spans="2:13" ht="15.75">
      <c r="B977"/>
      <c r="C977"/>
      <c r="D977"/>
      <c r="E977"/>
      <c r="F977"/>
      <c r="G977"/>
      <c r="H977"/>
      <c r="I977"/>
      <c r="J977"/>
      <c r="K977"/>
      <c r="L977"/>
      <c r="M977"/>
    </row>
    <row r="978" spans="2:13" ht="15.75">
      <c r="B978"/>
      <c r="C978"/>
      <c r="D978"/>
      <c r="E978"/>
      <c r="F978"/>
      <c r="G978"/>
      <c r="H978"/>
      <c r="I978"/>
      <c r="J978"/>
      <c r="K978"/>
      <c r="L978"/>
      <c r="M978"/>
    </row>
    <row r="979" spans="2:13" ht="15.75">
      <c r="B979"/>
      <c r="C979"/>
      <c r="D979"/>
      <c r="E979"/>
      <c r="F979"/>
      <c r="G979"/>
      <c r="H979"/>
      <c r="I979"/>
      <c r="J979"/>
      <c r="K979"/>
      <c r="L979"/>
      <c r="M979"/>
    </row>
    <row r="980" spans="2:13" ht="15.75">
      <c r="B980"/>
      <c r="C980"/>
      <c r="D980"/>
      <c r="E980"/>
      <c r="F980"/>
      <c r="G980"/>
      <c r="H980"/>
      <c r="I980"/>
      <c r="J980"/>
      <c r="K980"/>
      <c r="L980"/>
      <c r="M980"/>
    </row>
    <row r="981" spans="2:13" ht="15.75">
      <c r="B981"/>
      <c r="C981"/>
      <c r="D981"/>
      <c r="E981"/>
      <c r="F981"/>
      <c r="G981"/>
      <c r="H981"/>
      <c r="I981"/>
      <c r="J981"/>
      <c r="K981"/>
      <c r="L981"/>
      <c r="M981"/>
    </row>
    <row r="982" spans="2:13" ht="15.75">
      <c r="B982"/>
      <c r="C982"/>
      <c r="D982"/>
      <c r="E982"/>
      <c r="F982"/>
      <c r="G982"/>
      <c r="H982"/>
      <c r="I982"/>
      <c r="J982"/>
      <c r="K982"/>
      <c r="L982"/>
      <c r="M982"/>
    </row>
    <row r="983" spans="2:13" ht="15.75">
      <c r="B983"/>
      <c r="C983"/>
      <c r="D983"/>
      <c r="E983"/>
      <c r="F983"/>
      <c r="G983"/>
      <c r="H983"/>
      <c r="I983"/>
      <c r="J983"/>
      <c r="K983"/>
      <c r="L983"/>
      <c r="M983"/>
    </row>
    <row r="984" spans="2:13" ht="15.75">
      <c r="B984"/>
      <c r="C984"/>
      <c r="D984"/>
      <c r="E984"/>
      <c r="F984"/>
      <c r="G984"/>
      <c r="H984"/>
      <c r="I984"/>
      <c r="J984"/>
      <c r="K984"/>
      <c r="L984"/>
      <c r="M984"/>
    </row>
    <row r="985" spans="2:13" ht="15.75">
      <c r="B985"/>
      <c r="C985"/>
      <c r="D985"/>
      <c r="E985"/>
      <c r="F985"/>
      <c r="G985"/>
      <c r="H985"/>
      <c r="I985"/>
      <c r="J985"/>
      <c r="K985"/>
      <c r="L985"/>
      <c r="M985"/>
    </row>
    <row r="986" spans="2:13" ht="15.75">
      <c r="B986"/>
      <c r="C986"/>
      <c r="D986"/>
      <c r="E986"/>
      <c r="F986"/>
      <c r="G986"/>
      <c r="H986"/>
      <c r="I986"/>
      <c r="J986"/>
      <c r="K986"/>
      <c r="L986"/>
      <c r="M986"/>
    </row>
    <row r="987" spans="2:13" ht="15.75">
      <c r="B987"/>
      <c r="C987"/>
      <c r="D987"/>
      <c r="E987"/>
      <c r="F987"/>
      <c r="G987"/>
      <c r="H987"/>
      <c r="I987"/>
      <c r="J987"/>
      <c r="K987"/>
      <c r="L987"/>
      <c r="M987"/>
    </row>
    <row r="988" spans="2:13" ht="15.75">
      <c r="B988"/>
      <c r="C988"/>
      <c r="D988"/>
      <c r="E988"/>
      <c r="F988"/>
      <c r="G988"/>
      <c r="H988"/>
      <c r="I988"/>
      <c r="J988"/>
      <c r="K988"/>
      <c r="L988"/>
      <c r="M988"/>
    </row>
    <row r="989" spans="2:13" ht="15.75">
      <c r="B989"/>
      <c r="C989"/>
      <c r="D989"/>
      <c r="E989"/>
      <c r="F989"/>
      <c r="G989"/>
      <c r="H989"/>
      <c r="I989"/>
      <c r="J989"/>
      <c r="K989"/>
      <c r="L989"/>
      <c r="M989"/>
    </row>
    <row r="990" spans="2:13" ht="15.75">
      <c r="B990"/>
      <c r="C990"/>
      <c r="D990"/>
      <c r="E990"/>
      <c r="F990"/>
      <c r="G990"/>
      <c r="H990"/>
      <c r="I990"/>
      <c r="J990"/>
      <c r="K990"/>
      <c r="L990"/>
      <c r="M990"/>
    </row>
    <row r="991" spans="2:13" ht="15.75">
      <c r="B991"/>
      <c r="C991"/>
      <c r="D991"/>
      <c r="E991"/>
      <c r="F991"/>
      <c r="G991"/>
      <c r="H991"/>
      <c r="I991"/>
      <c r="J991"/>
      <c r="K991"/>
      <c r="L991"/>
      <c r="M991"/>
    </row>
    <row r="992" spans="2:13" ht="15.75">
      <c r="B992"/>
      <c r="C992"/>
      <c r="D992"/>
      <c r="E992"/>
      <c r="F992"/>
      <c r="G992"/>
      <c r="H992"/>
      <c r="I992"/>
      <c r="J992"/>
      <c r="K992"/>
      <c r="L992"/>
      <c r="M992"/>
    </row>
    <row r="993" spans="2:13" ht="15.75">
      <c r="B993"/>
      <c r="C993"/>
      <c r="D993"/>
      <c r="E993"/>
      <c r="F993"/>
      <c r="G993"/>
      <c r="H993"/>
      <c r="I993"/>
      <c r="J993"/>
      <c r="K993"/>
      <c r="L993"/>
      <c r="M993"/>
    </row>
    <row r="994" spans="2:13" ht="15.75">
      <c r="B994"/>
      <c r="C994"/>
      <c r="D994"/>
      <c r="E994"/>
      <c r="F994"/>
      <c r="G994"/>
      <c r="H994"/>
      <c r="I994"/>
      <c r="J994"/>
      <c r="K994"/>
      <c r="L994"/>
      <c r="M994"/>
    </row>
    <row r="995" spans="2:13" ht="15.75">
      <c r="B995"/>
      <c r="C995"/>
      <c r="D995"/>
      <c r="E995"/>
      <c r="F995"/>
      <c r="G995"/>
      <c r="H995"/>
      <c r="I995"/>
      <c r="J995"/>
      <c r="K995"/>
      <c r="L995"/>
      <c r="M995"/>
    </row>
    <row r="996" spans="2:13" ht="15.75">
      <c r="B996"/>
      <c r="C996"/>
      <c r="D996"/>
      <c r="E996"/>
      <c r="F996"/>
      <c r="G996"/>
      <c r="H996"/>
      <c r="I996"/>
      <c r="J996"/>
      <c r="K996"/>
      <c r="L996"/>
      <c r="M996"/>
    </row>
    <row r="997" spans="2:13" ht="15.75">
      <c r="B997"/>
      <c r="C997"/>
      <c r="D997"/>
      <c r="E997"/>
      <c r="F997"/>
      <c r="G997"/>
      <c r="H997"/>
      <c r="I997"/>
      <c r="J997"/>
      <c r="K997"/>
      <c r="L997"/>
      <c r="M997"/>
    </row>
    <row r="998" spans="2:13" ht="15.75">
      <c r="B998"/>
      <c r="C998"/>
      <c r="D998"/>
      <c r="E998"/>
      <c r="F998"/>
      <c r="G998"/>
      <c r="H998"/>
      <c r="I998"/>
      <c r="J998"/>
      <c r="K998"/>
      <c r="L998"/>
      <c r="M998"/>
    </row>
    <row r="999" spans="2:13" ht="15.75">
      <c r="B999"/>
      <c r="C999"/>
      <c r="D999"/>
      <c r="E999"/>
      <c r="F999"/>
      <c r="G999"/>
      <c r="H999"/>
      <c r="I999"/>
      <c r="J999"/>
      <c r="K999"/>
      <c r="L999"/>
      <c r="M999"/>
    </row>
    <row r="1000" spans="2:13" ht="15.75"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2:13" ht="15.75"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2:13" ht="15.75"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2:13" ht="15.75"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2:13" ht="15.75"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2:13" ht="15.75"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2:13" ht="15.75"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2:13" ht="15.75"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2:13" ht="15.75"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2:13" ht="15.75"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2:13" ht="15.75"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2:13" ht="15.75"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2:13" ht="15.75"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2:13" ht="15.75"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2:13" ht="15.75"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2:13" ht="15.75"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2:13" ht="15.75"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2:13" ht="15.75"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2:13" ht="15.75"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2:13" ht="15.75"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2:13" ht="15.75"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2:13" ht="15.75"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2:13" ht="15.75"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2:13" ht="15.75"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2:13" ht="15.75"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2:13" ht="15.75"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2:13" ht="15.75"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2:13" ht="15.75"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2:13" ht="15.75"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2:13" ht="15.75"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2:13" ht="15.75"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2:13" ht="15.75"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2:13" ht="15.75"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2:13" ht="15.75"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2:13" ht="15.75"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2:13" ht="15.75"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2:13" ht="15.75"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2:13" ht="15.75"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2:13" ht="15.75"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2:13" ht="15.75"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2:13" ht="15.75"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2:13" ht="15.75"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2:13" ht="15.75"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2:13" ht="15.75"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2:13" ht="15.75"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2:13" ht="15.75"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2:13" ht="15.75"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2:13" ht="15.75"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2:13" ht="15.75"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2:13" ht="15.75"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2:13" ht="15.75"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2:13" ht="15.75"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2:13" ht="15.75"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2:13" ht="15.75"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2:13" ht="15.75"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2:13" ht="15.75"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2:13" ht="15.75"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2:13" ht="15.75"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2:13" ht="15.75"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2:13" ht="15.75"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2:13" ht="15.75"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2:13" ht="15.75"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2:13" ht="15.75"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2:13" ht="15.75"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2:13" ht="15.75"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2:13" ht="15.75"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2:13" ht="15.75"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2:13" ht="15.75"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2:13" ht="15.75"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2:13" ht="15.75"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2:13" ht="15.75"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2:13" ht="15.75"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2:13" ht="15.75"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2:13" ht="15.75"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2:13" ht="15.75"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2:13" ht="15.75"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2:13" ht="15.75"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2:13" ht="15.75"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2:13" ht="15.75"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2:13" ht="15.75"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2:13" ht="15.75"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2:13" ht="15.75"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2:13" ht="15.75"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2:13" ht="15.75"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2:13" ht="15.75"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2:13" ht="15.75"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2:13" ht="15.75"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2:13" ht="15.75"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2:13" ht="15.75"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2:13" ht="15.75"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2:13" ht="15.75"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2:13" ht="15.75"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2:13" ht="15.75"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2:13" ht="15.75"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2:13" ht="15.75"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2:13" ht="15.75"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2:13" ht="15.75"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2:13" ht="15.75"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2:13" ht="15.75"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2:13" ht="15.75"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2:13" ht="15.75"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2:13" ht="15.75"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2:13" ht="15.75"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2:13" ht="15.75"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2:13" ht="15.75"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2:13" ht="15.75"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2:13" ht="15.75"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2:13" ht="15.75"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2:13" ht="15.75"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2:13" ht="15.75"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2:13" ht="15.75"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2:13" ht="15.75"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2:13" ht="15.75"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2:13" ht="15.75"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2:13" ht="15.75"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2:13" ht="15.75"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2:13" ht="15.75"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2:13" ht="15.75"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2:13" ht="15.75"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2:13" ht="15.75"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2:13" ht="15.75"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2:13" ht="15.75"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2:13" ht="15.75"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2:13" ht="15.75"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2:13" ht="15.75"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2:13" ht="15.75"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2:13" ht="15.75"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2:13" ht="15.75"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2:13" ht="15.75"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2:13" ht="15.75"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2:13" ht="15.75"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2:13" ht="15.75"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2:13" ht="15.75"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2:13" ht="15.75"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2:13" ht="15.75"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2:13" ht="15.75"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2:13" ht="15.75"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2:13" ht="15.75"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2:13" ht="15.75"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2:13" ht="15.75"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2:13" ht="15.75"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2:13" ht="15.75"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2:13" ht="15.75"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2:13" ht="15.75"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2:13" ht="15.75"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2:13" ht="15.75"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2:13" ht="15.75"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2:13" ht="15.75"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2:13" ht="15.75"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2:13" ht="15.75"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2:13" ht="15.75"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2:13" ht="15.75"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2:13" ht="15.75"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2:13" ht="15.75"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2:13" ht="15.75"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2:13" ht="15.75"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2:13" ht="15.75"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2:13" ht="15.75"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2:13" ht="15.75"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2:13" ht="15.75"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2:13" ht="15.75"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2:13" ht="15.75"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2:13" ht="15.75"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2:13" ht="15.75"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2:13" ht="15.75"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2:13" ht="15.75"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2:13" ht="15.75"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2:13" ht="15.75"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2:13" ht="15.75"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2:13" ht="15.75"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2:13" ht="15.75"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2:13" ht="15.75"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2:13" ht="15.75"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2:13" ht="15.75"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2:13" ht="15.75"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2:13" ht="15.75"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2:13" ht="15.75"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2:13" ht="15.75"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2:13" ht="15.75"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2:13" ht="15.75"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2:13" ht="15.75"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2:13" ht="15.75"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2:13" ht="15.75"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2:13" ht="15.75"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2:13" ht="15.75"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2:13" ht="15.75"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2:13" ht="15.75"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2:13" ht="15.75"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2:13" ht="15.75"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2:13" ht="15.75"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2:13" ht="15.75"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2:13" ht="15.75"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2:13" ht="15.75"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2:13" ht="15.75"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2:13" ht="15.75"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2:13" ht="15.75"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2:13" ht="15.75"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2:13" ht="15.75"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2:13" ht="15.75"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2:13" ht="15.75"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2:13" ht="15.75"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2:13" ht="15.75"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2:13" ht="15.75"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2:13" ht="15.75"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2:13" ht="15.75"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2:13" ht="15.75"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2:13" ht="15.75"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2:13" ht="15.75"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2:13" ht="15.75"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2:13" ht="15.75"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2:13" ht="15.75"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2:13" ht="15.75"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2:13" ht="15.75"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2:13" ht="15.75"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2:13" ht="15.75"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2:13" ht="15.75"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2:13" ht="15.75"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2:13" ht="15.75"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2:13" ht="15.75"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2:13" ht="15.75"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2:13" ht="15.75"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2:13" ht="15.75"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2:13" ht="15.75"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2:13" ht="15.75"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2:13" ht="15.75"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2:13" ht="15.75"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2:13" ht="15.75"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2:13" ht="15.75"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2:13" ht="15.75"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2:13" ht="15.75"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2:13" ht="15.75"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2:13" ht="15.75"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2:13" ht="15.75"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2:13" ht="15.75"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2:13" ht="15.75"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2:13" ht="15.75"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2:13" ht="15.75"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2:13" ht="15.75"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2:13" ht="15.75"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2:13" ht="15.75"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2:13" ht="15.75"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2:13" ht="15.75"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2:13" ht="15.75"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2:13" ht="15.75"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2:13" ht="15.75"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2:13" ht="15.75"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2:13" ht="15.75"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2:13" ht="15.75"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2:13" ht="15.75"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2:13" ht="15.75"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2:13" ht="15.75"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2:13" ht="15.75"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2:13" ht="15.75"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2:13" ht="15.75"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2:13" ht="15.75"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2:13" ht="15.75"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2:13" ht="15.75"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2:13" ht="15.75"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2:13" ht="15.75"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2:13" ht="15.75"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2:13" ht="15.75"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2:13" ht="15.75"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2:13" ht="15.75"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2:13" ht="15.75"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2:13" ht="15.75">
      <c r="B1264"/>
      <c r="C1264"/>
      <c r="D1264"/>
      <c r="E1264"/>
      <c r="F1264"/>
      <c r="G1264"/>
      <c r="H1264"/>
      <c r="I1264"/>
      <c r="J1264"/>
      <c r="K1264"/>
      <c r="L1264"/>
      <c r="M1264"/>
    </row>
  </sheetData>
  <mergeCells count="7">
    <mergeCell ref="K1:M1"/>
    <mergeCell ref="K3:M3"/>
    <mergeCell ref="A7:I7"/>
    <mergeCell ref="H9:H10"/>
    <mergeCell ref="J9:J10"/>
    <mergeCell ref="L9:L10"/>
    <mergeCell ref="K2:M2"/>
  </mergeCells>
  <printOptions horizontalCentered="1"/>
  <pageMargins left="0.2362204724409449" right="0.1968503937007874" top="0.35433070866141736" bottom="0.2755905511811024" header="0.6299212598425197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2010-07-12T07:17:27Z</cp:lastPrinted>
  <dcterms:created xsi:type="dcterms:W3CDTF">2002-11-11T07:39:40Z</dcterms:created>
  <dcterms:modified xsi:type="dcterms:W3CDTF">2010-07-12T07:59:33Z</dcterms:modified>
  <cp:category/>
  <cp:version/>
  <cp:contentType/>
  <cp:contentStatus/>
</cp:coreProperties>
</file>