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<sst xmlns="http://schemas.openxmlformats.org/spreadsheetml/2006/main" count="3779" uniqueCount="459">
  <si>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</si>
  <si>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</si>
  <si>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</si>
  <si>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</si>
  <si>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</si>
  <si>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</si>
  <si>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</si>
  <si>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</si>
  <si>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</si>
  <si>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</si>
  <si>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</si>
  <si>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</si>
  <si>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</si>
  <si>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</si>
  <si>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</si>
  <si>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</si>
  <si>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</si>
  <si>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</si>
  <si>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</si>
  <si>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</si>
  <si>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</si>
  <si>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</si>
  <si>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</si>
  <si>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</si>
  <si>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</si>
  <si>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</si>
  <si>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</si>
  <si>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</si>
  <si>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</si>
  <si>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</si>
  <si>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</si>
  <si>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</si>
  <si>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</si>
  <si>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</si>
  <si>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</si>
  <si>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</si>
  <si>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</si>
  <si>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</si>
  <si>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</si>
  <si>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</si>
  <si>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</si>
  <si>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</si>
  <si>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</si>
  <si>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</si>
  <si>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</si>
  <si>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</si>
  <si>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</si>
  <si>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</si>
  <si>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</si>
  <si>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</si>
  <si>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</si>
  <si>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</si>
  <si>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</si>
  <si>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</si>
  <si>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</si>
  <si>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</si>
  <si>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</si>
  <si>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</si>
  <si>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</si>
  <si>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</si>
  <si>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</si>
  <si>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</si>
  <si>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</si>
  <si>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</si>
  <si>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</si>
  <si>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</si>
  <si>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</si>
  <si>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</si>
  <si>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</si>
  <si>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</si>
  <si>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</si>
  <si>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</si>
  <si>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</si>
  <si>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</si>
  <si>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</si>
  <si>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</si>
  <si>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</si>
  <si>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</si>
  <si>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</si>
  <si>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</si>
  <si>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</si>
  <si>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</si>
  <si>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</si>
  <si>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</si>
  <si>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</si>
  <si>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</si>
  <si>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</si>
  <si>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</si>
  <si>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</si>
  <si>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</si>
  <si>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</si>
  <si>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</si>
  <si>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</si>
  <si>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</si>
  <si>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</si>
  <si>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</si>
  <si>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</si>
  <si>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</si>
  <si>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</si>
  <si>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</si>
  <si>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</si>
  <si>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</si>
  <si>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</si>
  <si>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</si>
  <si>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</si>
  <si>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</si>
  <si>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</si>
  <si>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</si>
  <si>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</si>
  <si>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</si>
  <si>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</si>
  <si>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</si>
  <si>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</si>
  <si>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</si>
  <si>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</si>
  <si>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</si>
  <si>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</si>
  <si>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</si>
  <si>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</si>
  <si>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</si>
  <si>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</si>
  <si>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</si>
  <si>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</si>
  <si>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</si>
  <si>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</si>
  <si>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</si>
  <si>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</si>
  <si>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</si>
  <si>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</si>
  <si>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</si>
  <si>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</si>
  <si>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</si>
  <si>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</si>
  <si>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</si>
  <si>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</si>
  <si>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</si>
  <si>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</si>
  <si>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</si>
  <si>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</si>
  <si>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</si>
  <si>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</si>
  <si>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</si>
  <si>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</si>
  <si>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</si>
  <si>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</si>
  <si>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</si>
  <si>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</si>
  <si>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</si>
  <si>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</si>
  <si>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</si>
  <si>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</si>
  <si>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</si>
  <si>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</si>
  <si>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</si>
  <si>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</si>
  <si>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</si>
  <si>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</si>
  <si>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</si>
  <si>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</si>
  <si>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</si>
  <si>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</si>
  <si>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</si>
  <si>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</si>
  <si>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</si>
  <si>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</si>
  <si>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</si>
  <si>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</si>
  <si>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</si>
  <si>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</si>
  <si>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</si>
  <si>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</si>
  <si>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</si>
  <si>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</si>
  <si>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</si>
  <si>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</si>
  <si>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</si>
  <si>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</si>
  <si>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</si>
  <si>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</si>
  <si>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</si>
  <si>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</si>
  <si>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</si>
  <si>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</si>
  <si>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</si>
  <si>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</si>
  <si>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</si>
  <si>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</si>
  <si>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</si>
  <si>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</si>
  <si>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</si>
  <si>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</si>
  <si>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</si>
  <si>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</si>
  <si>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</si>
  <si>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</si>
  <si>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</si>
  <si>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</si>
  <si>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</si>
  <si>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</si>
  <si>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</si>
  <si>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</si>
  <si>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</si>
  <si>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</si>
  <si>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</si>
  <si>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</si>
  <si>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</si>
  <si>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</si>
  <si>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</si>
  <si>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</si>
  <si>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</si>
  <si>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</si>
  <si>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</si>
  <si>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</si>
  <si>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</si>
  <si>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</si>
  <si>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</si>
  <si>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</si>
  <si>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</si>
  <si>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</si>
  <si>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</si>
  <si>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</si>
  <si>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</si>
  <si>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</si>
  <si>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</si>
  <si>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</si>
  <si>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</si>
  <si>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</si>
  <si>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</si>
  <si>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</si>
  <si>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</si>
  <si>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</si>
  <si>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</si>
  <si>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</si>
  <si>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</si>
  <si>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</si>
  <si>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</si>
  <si>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</si>
  <si>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</si>
  <si>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</si>
  <si>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</si>
  <si>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</si>
  <si>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</si>
  <si>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</si>
  <si>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</si>
  <si>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</si>
  <si>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</si>
  <si>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</si>
  <si>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</si>
  <si>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</si>
  <si>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</si>
  <si>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</si>
  <si>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</si>
  <si>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</si>
  <si>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</si>
  <si>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</si>
  <si>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</si>
  <si>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</si>
  <si>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</si>
  <si>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</si>
  <si>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</si>
  <si>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</si>
  <si>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</si>
  <si>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</si>
  <si>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</si>
  <si>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</si>
  <si>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</si>
  <si>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</si>
  <si>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</si>
  <si>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</si>
  <si>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</si>
  <si>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</si>
  <si>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</si>
  <si>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</si>
  <si>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</si>
  <si>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</si>
  <si>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</si>
  <si>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</si>
  <si>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</si>
  <si>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</si>
  <si>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</si>
  <si>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</si>
  <si>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</si>
  <si>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</si>
  <si>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</si>
  <si>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(Приложение №3</t>
  </si>
  <si>
    <t>Мероприятия в области коммунального хозяйства</t>
  </si>
  <si>
    <t>351 05 00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</si>
  <si>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</si>
  <si>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</si>
  <si>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</si>
  <si>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</si>
  <si>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</si>
  <si>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</si>
  <si>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</si>
  <si>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</si>
  <si>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</si>
  <si>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</si>
  <si>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</si>
  <si>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</si>
  <si>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</si>
  <si>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</si>
  <si>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</si>
  <si>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</si>
  <si>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</si>
  <si>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</si>
  <si>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</si>
  <si>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</si>
  <si>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</si>
  <si>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</si>
  <si>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</si>
  <si>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</si>
  <si>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</si>
  <si>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</si>
  <si>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</si>
  <si>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</si>
  <si>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</si>
  <si>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</si>
  <si>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</si>
  <si>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</si>
  <si>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</si>
  <si>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</si>
  <si>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</si>
  <si>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</si>
  <si>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</si>
  <si>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</si>
  <si>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</si>
  <si>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</si>
  <si>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</si>
  <si>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</si>
  <si>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</si>
  <si>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</si>
  <si>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</si>
  <si>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</si>
  <si>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Ведомственная структура расходов  бюджета городского округа Долгопрудный  на   2009 год</t>
  </si>
  <si>
    <t>Природоохранные мероприятия</t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</si>
  <si>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</si>
  <si>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</si>
  <si>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</si>
  <si>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</si>
  <si>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</si>
  <si>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</si>
  <si>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</si>
  <si>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</si>
  <si>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</si>
  <si>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</si>
  <si>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"Обеспечение жильем  молодых семей в г. Долгопрудный на 2009 год"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</si>
  <si>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</si>
  <si>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</si>
  <si>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</si>
  <si>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</si>
  <si>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Расходы бюджета города на 2009 г. по разделам, подразделам, целевым статьям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</si>
  <si>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</si>
  <si>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</si>
  <si>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</si>
  <si>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</si>
  <si>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</si>
  <si>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</si>
  <si>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</si>
  <si>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</si>
  <si>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</si>
  <si>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</si>
  <si>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</si>
  <si>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</si>
  <si>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</si>
  <si>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</si>
  <si>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</si>
  <si>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</si>
  <si>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</si>
  <si>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</si>
  <si>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</si>
  <si>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</si>
  <si>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</si>
  <si>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</si>
  <si>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</si>
  <si>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</si>
  <si>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</si>
  <si>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</si>
  <si>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</si>
  <si>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</si>
  <si>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</si>
  <si>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</si>
  <si>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</si>
  <si>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</si>
  <si>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</si>
  <si>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</si>
  <si>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</si>
  <si>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</si>
  <si>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</si>
  <si>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</si>
  <si>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</si>
  <si>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современных образовательных технологий</t>
  </si>
  <si>
    <t>436 03 00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</si>
  <si>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</si>
  <si>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</si>
  <si>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</si>
  <si>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</si>
  <si>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</si>
  <si>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</si>
  <si>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</si>
  <si>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</si>
  <si>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</si>
  <si>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</si>
  <si>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</si>
  <si>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</si>
  <si>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 спорта и физической культуры</t>
  </si>
  <si>
    <t>471 99 04</t>
  </si>
  <si>
    <t>470 99 05</t>
  </si>
  <si>
    <t>Мероприятия в области строительства, архитектуры и градостроительства</t>
  </si>
  <si>
    <t>338 00 00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</si>
  <si>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</si>
  <si>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инвестиции(кредиторская задолженность)</t>
  </si>
  <si>
    <t>Бюджетные инвестиции в объекты капитального строительства собственности муниципальных образований (погашение кредиторской задолженности по реконструкции детского сада № 15)</t>
  </si>
  <si>
    <t>Бюджетные инвестиции в объекты капитального строительства собственности муниципальных образований ( кредиторская  задолженность по строительству  школы № 14)</t>
  </si>
  <si>
    <t>Обеспечение деятельности финансовых, налоговых и таможенных органов и органов финансового(финансово-бюджетного) надзора</t>
  </si>
  <si>
    <t>Содержание и управление дорожным хозяйством</t>
  </si>
  <si>
    <t>315 01 00</t>
  </si>
  <si>
    <t>Ремонт и содержание муниципальных автомобильных дорог</t>
  </si>
  <si>
    <t>315 01 06</t>
  </si>
  <si>
    <t>Отдельные мероприятия  в области дорожного хозяйства</t>
  </si>
  <si>
    <t>365</t>
  </si>
  <si>
    <t>Совет депутатов города Долгопрудный</t>
  </si>
  <si>
    <t>Финансовое управление администрации  г. Долгопрудного</t>
  </si>
  <si>
    <t>011</t>
  </si>
  <si>
    <t>520 12 01</t>
  </si>
  <si>
    <t>Государственная поддержка внедрения комплексных мер модернизации образования</t>
  </si>
  <si>
    <t>Государственная поддержка внедрения комплексных мер модернизации образования за счет средств федерального бюджета</t>
  </si>
  <si>
    <t>Государственная поддержка внедрения комплексных мер модернизации образования за счет средств  федерального бюджета</t>
  </si>
  <si>
    <t>Социальные авплаты</t>
  </si>
  <si>
    <t>Расходы на погашение кредиторской задолженности бюджета Московской области  за 2008 год</t>
  </si>
  <si>
    <t>520 12 02</t>
  </si>
  <si>
    <t>Расходы на погашение кредиторской задолженности бюджета Московской области за 2008 год</t>
  </si>
  <si>
    <t>Мероприятия в сфере 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</si>
  <si>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</si>
  <si>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450 06 00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</si>
  <si>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образований)(Реконструкция  котельной в г. Долгопрудный Московской области , ул. Заводская , д. 2  ) ( за счет средств федерального бюджета)</t>
  </si>
  <si>
    <t>020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</si>
  <si>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образований)(Водовод на микрорайон "Хлебниково" в г.  Долгопрудный Московской области  ) ( за счет средств федерального бюджета)</t>
  </si>
  <si>
    <t>523 01 00</t>
  </si>
  <si>
    <t>Обеспечение жильем отдельных категорий граждан,установленных ФЗ от 12.01.95г.№5-ФЗ "Оветеранах" в соответствии с Указом Президента РФ от 07.05.2008г. №714 "Об обеспечении жильем ВОВ 1941-1945 гг"</t>
  </si>
  <si>
    <t>505 34 01</t>
  </si>
  <si>
    <t xml:space="preserve">505 34 01 </t>
  </si>
  <si>
    <t>50534 02</t>
  </si>
  <si>
    <t>Обеспечение жильем отдельных категорий граждан, установленных ФЗ от 12.01.1995№5 ФЗ "О ветеранах" и 24.11.1995 гю №181-ФЗ "О социальной защите инвалидовРФ"</t>
  </si>
  <si>
    <t>505 34 02</t>
  </si>
  <si>
    <t>5230100</t>
  </si>
  <si>
    <t>Бюджетные инвестиции (кредиторская задолженность)</t>
  </si>
  <si>
    <t>Софинансирование объектов капитального строительства государственной собственности субъектов РФ (объектов капитального строительства собственности муниципальных образований)</t>
  </si>
  <si>
    <t>505 86 00</t>
  </si>
  <si>
    <t>431 99 00</t>
  </si>
  <si>
    <t>Областная целевая программа "Жилище" на 2009-2012 годы</t>
  </si>
  <si>
    <t>522 15 04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</si>
  <si>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гг"</t>
  </si>
  <si>
    <t>795 23 00</t>
  </si>
  <si>
    <t>Приложение №3</t>
  </si>
  <si>
    <t>от "28" ноября 2008г. №98-нр)</t>
  </si>
  <si>
    <t>Приложение №5</t>
  </si>
  <si>
    <t>(Приложение №5</t>
  </si>
  <si>
    <t>от 28 ноября 2008 г. №98-нр)</t>
  </si>
  <si>
    <t>от 18 декабря 2009г. №92-нр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</si>
</sst>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4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49" fontId="2" fillId="0" borderId="26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9" xfId="0" applyFont="1" applyBorder="1" applyAlignment="1">
      <alignment wrapText="1"/>
    </xf>
    <xf numFmtId="0" fontId="13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6" fillId="0" borderId="27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9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164" fontId="14" fillId="0" borderId="11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9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Font="1" applyAlignment="1">
      <alignment horizontal="left"/>
    </xf>
    <xf numFmtId="49" fontId="3" fillId="0" borderId="1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49" fontId="2" fillId="0" borderId="25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5" fillId="0" borderId="29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0" fontId="9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32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2" fillId="0" borderId="26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6" fillId="0" borderId="19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" fillId="0" borderId="32" xfId="0" applyFont="1" applyBorder="1" applyAlignment="1">
      <alignment/>
    </xf>
    <xf numFmtId="164" fontId="5" fillId="0" borderId="11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0" fontId="1" fillId="0" borderId="30" xfId="0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/>
    </xf>
    <xf numFmtId="0" fontId="15" fillId="0" borderId="0" xfId="0" applyFont="1" applyAlignment="1">
      <alignment/>
    </xf>
    <xf numFmtId="49" fontId="1" fillId="0" borderId="20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/>
    </xf>
    <xf numFmtId="49" fontId="15" fillId="0" borderId="8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15" fillId="0" borderId="8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49" fontId="15" fillId="0" borderId="7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49" fontId="1" fillId="2" borderId="14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/>
    </xf>
    <xf numFmtId="49" fontId="1" fillId="2" borderId="14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/>
    </xf>
    <xf numFmtId="49" fontId="15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49" fontId="2" fillId="0" borderId="5" xfId="0" applyNumberFormat="1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7" xfId="0" applyFont="1" applyBorder="1" applyAlignment="1">
      <alignment wrapText="1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 wrapText="1"/>
    </xf>
    <xf numFmtId="49" fontId="15" fillId="0" borderId="15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4" fillId="0" borderId="37" xfId="0" applyNumberFormat="1" applyFont="1" applyFill="1" applyBorder="1" applyAlignment="1">
      <alignment/>
    </xf>
    <xf numFmtId="0" fontId="6" fillId="0" borderId="38" xfId="0" applyFont="1" applyBorder="1" applyAlignment="1">
      <alignment wrapText="1"/>
    </xf>
    <xf numFmtId="164" fontId="3" fillId="0" borderId="31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5" fillId="0" borderId="40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 wrapText="1"/>
    </xf>
    <xf numFmtId="164" fontId="15" fillId="0" borderId="41" xfId="0" applyNumberFormat="1" applyFont="1" applyBorder="1" applyAlignment="1">
      <alignment/>
    </xf>
    <xf numFmtId="164" fontId="15" fillId="0" borderId="42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1" fillId="0" borderId="40" xfId="0" applyFont="1" applyBorder="1" applyAlignment="1">
      <alignment/>
    </xf>
    <xf numFmtId="164" fontId="5" fillId="0" borderId="41" xfId="0" applyNumberFormat="1" applyFont="1" applyBorder="1" applyAlignment="1">
      <alignment/>
    </xf>
    <xf numFmtId="164" fontId="15" fillId="0" borderId="43" xfId="0" applyNumberFormat="1" applyFont="1" applyBorder="1" applyAlignment="1">
      <alignment/>
    </xf>
    <xf numFmtId="164" fontId="15" fillId="0" borderId="39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15" fillId="0" borderId="44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5" xfId="0" applyFont="1" applyBorder="1" applyAlignment="1">
      <alignment/>
    </xf>
    <xf numFmtId="49" fontId="1" fillId="0" borderId="26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3" fillId="0" borderId="45" xfId="0" applyFont="1" applyBorder="1" applyAlignment="1">
      <alignment/>
    </xf>
    <xf numFmtId="49" fontId="3" fillId="0" borderId="2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workbookViewId="0" topLeftCell="A1">
      <selection activeCell="H3" sqref="H3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9" customWidth="1"/>
    <col min="8" max="8" width="11.69921875" style="0" customWidth="1"/>
    <col min="9" max="9" width="8.69921875" style="81" customWidth="1"/>
  </cols>
  <sheetData>
    <row r="1" ht="15.75">
      <c r="H1" s="84" t="s">
        <v>453</v>
      </c>
    </row>
    <row r="2" ht="15.75">
      <c r="H2" s="84" t="s">
        <v>263</v>
      </c>
    </row>
    <row r="3" ht="15.75">
      <c r="H3" s="84" t="s">
        <v>458</v>
      </c>
    </row>
    <row r="4" spans="7:8" ht="15.75">
      <c r="G4" s="48"/>
      <c r="H4" s="84" t="s">
        <v>284</v>
      </c>
    </row>
    <row r="5" ht="15.75">
      <c r="H5" s="84" t="s">
        <v>263</v>
      </c>
    </row>
    <row r="6" ht="15.75">
      <c r="H6" s="84" t="s">
        <v>454</v>
      </c>
    </row>
    <row r="7" ht="15.75">
      <c r="H7" s="84"/>
    </row>
    <row r="8" spans="1:8" ht="15.75">
      <c r="A8" s="338" t="s">
        <v>350</v>
      </c>
      <c r="B8" s="338"/>
      <c r="C8" s="338"/>
      <c r="D8" s="338"/>
      <c r="E8" s="338"/>
      <c r="F8" s="338"/>
      <c r="G8" s="338"/>
      <c r="H8" s="338"/>
    </row>
    <row r="9" spans="1:8" ht="18.75" customHeight="1">
      <c r="A9" s="339" t="s">
        <v>259</v>
      </c>
      <c r="B9" s="339"/>
      <c r="C9" s="339"/>
      <c r="D9" s="339"/>
      <c r="E9" s="339"/>
      <c r="F9" s="339"/>
      <c r="G9" s="339"/>
      <c r="H9" s="339"/>
    </row>
    <row r="10" spans="1:8" ht="18.75" customHeight="1" thickBot="1">
      <c r="A10" s="128"/>
      <c r="B10" s="128"/>
      <c r="C10" s="128"/>
      <c r="D10" s="128"/>
      <c r="E10" s="128"/>
      <c r="F10" s="128"/>
      <c r="G10" s="128"/>
      <c r="H10" s="129" t="s">
        <v>265</v>
      </c>
    </row>
    <row r="11" spans="1:9" s="48" customFormat="1" ht="16.5" thickBot="1">
      <c r="A11" s="271" t="s">
        <v>124</v>
      </c>
      <c r="B11" s="180" t="s">
        <v>182</v>
      </c>
      <c r="C11" s="19" t="s">
        <v>183</v>
      </c>
      <c r="D11" s="182" t="s">
        <v>184</v>
      </c>
      <c r="E11" s="19" t="s">
        <v>185</v>
      </c>
      <c r="F11" s="182"/>
      <c r="G11" s="322"/>
      <c r="H11" s="302" t="s">
        <v>89</v>
      </c>
      <c r="I11" s="81"/>
    </row>
    <row r="12" spans="1:9" s="48" customFormat="1" ht="33.75" thickBot="1">
      <c r="A12" s="272"/>
      <c r="B12" s="290"/>
      <c r="C12" s="11"/>
      <c r="D12" s="187"/>
      <c r="E12" s="11"/>
      <c r="F12" s="187"/>
      <c r="G12" s="323" t="s">
        <v>60</v>
      </c>
      <c r="H12" s="303" t="s">
        <v>247</v>
      </c>
      <c r="I12" s="81"/>
    </row>
    <row r="13" spans="1:9" s="48" customFormat="1" ht="16.5" thickBot="1">
      <c r="A13" s="273" t="s">
        <v>17</v>
      </c>
      <c r="B13" s="28" t="s">
        <v>186</v>
      </c>
      <c r="C13" s="21" t="s">
        <v>126</v>
      </c>
      <c r="D13" s="13"/>
      <c r="E13" s="21"/>
      <c r="F13" s="13"/>
      <c r="G13" s="217">
        <f>G14+G41+G45+G24+G18+G35+G28+G32</f>
        <v>161675.6</v>
      </c>
      <c r="H13" s="304">
        <f>H14+H41+H45+H24+H18+H35+H28+H32</f>
        <v>10165</v>
      </c>
      <c r="I13" s="81"/>
    </row>
    <row r="14" spans="1:9" s="48" customFormat="1" ht="29.25">
      <c r="A14" s="274" t="s">
        <v>102</v>
      </c>
      <c r="B14" s="291" t="s">
        <v>186</v>
      </c>
      <c r="C14" s="138" t="s">
        <v>187</v>
      </c>
      <c r="D14" s="154"/>
      <c r="E14" s="138"/>
      <c r="F14" s="154"/>
      <c r="G14" s="140">
        <f aca="true" t="shared" si="0" ref="G14:H16">G15</f>
        <v>1577.3</v>
      </c>
      <c r="H14" s="305">
        <f t="shared" si="0"/>
        <v>0</v>
      </c>
      <c r="I14" s="81"/>
    </row>
    <row r="15" spans="1:9" s="48" customFormat="1" ht="42.75" customHeight="1">
      <c r="A15" s="47" t="s">
        <v>298</v>
      </c>
      <c r="B15" s="43" t="s">
        <v>186</v>
      </c>
      <c r="C15" s="18" t="s">
        <v>187</v>
      </c>
      <c r="D15" s="30" t="s">
        <v>273</v>
      </c>
      <c r="E15" s="18"/>
      <c r="F15" s="30"/>
      <c r="G15" s="38">
        <f t="shared" si="0"/>
        <v>1577.3</v>
      </c>
      <c r="H15" s="306">
        <f t="shared" si="0"/>
        <v>0</v>
      </c>
      <c r="I15" s="81"/>
    </row>
    <row r="16" spans="1:9" s="48" customFormat="1" ht="15.75">
      <c r="A16" s="35" t="s">
        <v>296</v>
      </c>
      <c r="B16" s="43" t="s">
        <v>186</v>
      </c>
      <c r="C16" s="18" t="s">
        <v>187</v>
      </c>
      <c r="D16" s="30" t="s">
        <v>297</v>
      </c>
      <c r="E16" s="18"/>
      <c r="F16" s="30"/>
      <c r="G16" s="38">
        <f t="shared" si="0"/>
        <v>1577.3</v>
      </c>
      <c r="H16" s="306">
        <f t="shared" si="0"/>
        <v>0</v>
      </c>
      <c r="I16" s="81"/>
    </row>
    <row r="17" spans="1:9" s="48" customFormat="1" ht="15.75">
      <c r="A17" s="27" t="s">
        <v>146</v>
      </c>
      <c r="B17" s="43" t="s">
        <v>186</v>
      </c>
      <c r="C17" s="18" t="s">
        <v>187</v>
      </c>
      <c r="D17" s="30" t="s">
        <v>297</v>
      </c>
      <c r="E17" s="18" t="s">
        <v>274</v>
      </c>
      <c r="F17" s="30"/>
      <c r="G17" s="38">
        <f>'Прилож №5'!H16</f>
        <v>1577.3</v>
      </c>
      <c r="H17" s="306">
        <f>'Прилож №5'!I16</f>
        <v>0</v>
      </c>
      <c r="I17" s="81"/>
    </row>
    <row r="18" spans="1:8" s="250" customFormat="1" ht="45">
      <c r="A18" s="275" t="s">
        <v>299</v>
      </c>
      <c r="B18" s="260" t="s">
        <v>186</v>
      </c>
      <c r="C18" s="141" t="s">
        <v>191</v>
      </c>
      <c r="D18" s="142"/>
      <c r="E18" s="141"/>
      <c r="F18" s="142"/>
      <c r="G18" s="143">
        <f>G19</f>
        <v>3000</v>
      </c>
      <c r="H18" s="307">
        <f>H19</f>
        <v>0</v>
      </c>
    </row>
    <row r="19" spans="1:9" s="48" customFormat="1" ht="39">
      <c r="A19" s="64" t="s">
        <v>295</v>
      </c>
      <c r="B19" s="68" t="s">
        <v>186</v>
      </c>
      <c r="C19" s="69" t="s">
        <v>191</v>
      </c>
      <c r="D19" s="70" t="s">
        <v>273</v>
      </c>
      <c r="E19" s="141"/>
      <c r="F19" s="142"/>
      <c r="G19" s="38">
        <f>G22+G20</f>
        <v>3000</v>
      </c>
      <c r="H19" s="306">
        <f>H22</f>
        <v>0</v>
      </c>
      <c r="I19" s="81"/>
    </row>
    <row r="20" spans="1:9" s="48" customFormat="1" ht="15.75">
      <c r="A20" s="27" t="s">
        <v>50</v>
      </c>
      <c r="B20" s="68" t="s">
        <v>186</v>
      </c>
      <c r="C20" s="69" t="s">
        <v>191</v>
      </c>
      <c r="D20" s="70" t="s">
        <v>275</v>
      </c>
      <c r="E20" s="141"/>
      <c r="F20" s="142"/>
      <c r="G20" s="38">
        <f>G21</f>
        <v>2144</v>
      </c>
      <c r="H20" s="306"/>
      <c r="I20" s="81"/>
    </row>
    <row r="21" spans="1:9" s="48" customFormat="1" ht="15.75">
      <c r="A21" s="27" t="s">
        <v>146</v>
      </c>
      <c r="B21" s="68" t="s">
        <v>186</v>
      </c>
      <c r="C21" s="69" t="s">
        <v>191</v>
      </c>
      <c r="D21" s="70" t="s">
        <v>275</v>
      </c>
      <c r="E21" s="18" t="s">
        <v>274</v>
      </c>
      <c r="F21" s="142"/>
      <c r="G21" s="38">
        <f>'Прилож №5'!H453</f>
        <v>2144</v>
      </c>
      <c r="H21" s="306"/>
      <c r="I21" s="81"/>
    </row>
    <row r="22" spans="1:9" s="48" customFormat="1" ht="15.75">
      <c r="A22" s="66" t="s">
        <v>300</v>
      </c>
      <c r="B22" s="68" t="s">
        <v>186</v>
      </c>
      <c r="C22" s="69" t="s">
        <v>191</v>
      </c>
      <c r="D22" s="70" t="s">
        <v>301</v>
      </c>
      <c r="E22" s="141"/>
      <c r="F22" s="142"/>
      <c r="G22" s="38">
        <f>G23</f>
        <v>856</v>
      </c>
      <c r="H22" s="306">
        <f>H23</f>
        <v>0</v>
      </c>
      <c r="I22" s="81"/>
    </row>
    <row r="23" spans="1:9" s="48" customFormat="1" ht="20.25" customHeight="1">
      <c r="A23" s="66" t="s">
        <v>146</v>
      </c>
      <c r="B23" s="68" t="s">
        <v>186</v>
      </c>
      <c r="C23" s="69" t="s">
        <v>191</v>
      </c>
      <c r="D23" s="70" t="s">
        <v>301</v>
      </c>
      <c r="E23" s="18" t="s">
        <v>274</v>
      </c>
      <c r="F23" s="142"/>
      <c r="G23" s="38">
        <f>'Прилож №5'!H455</f>
        <v>856</v>
      </c>
      <c r="H23" s="38">
        <f>'Прилож №5'!I455</f>
        <v>0</v>
      </c>
      <c r="I23" s="81"/>
    </row>
    <row r="24" spans="1:9" s="48" customFormat="1" ht="51.75" customHeight="1">
      <c r="A24" s="276" t="s">
        <v>103</v>
      </c>
      <c r="B24" s="292" t="s">
        <v>186</v>
      </c>
      <c r="C24" s="144" t="s">
        <v>188</v>
      </c>
      <c r="D24" s="145"/>
      <c r="E24" s="144"/>
      <c r="F24" s="145"/>
      <c r="G24" s="146">
        <f aca="true" t="shared" si="1" ref="G24:H26">G25</f>
        <v>89884.6</v>
      </c>
      <c r="H24" s="308">
        <f t="shared" si="1"/>
        <v>5147</v>
      </c>
      <c r="I24" s="81"/>
    </row>
    <row r="25" spans="1:9" s="48" customFormat="1" ht="18.75" customHeight="1">
      <c r="A25" s="47" t="s">
        <v>147</v>
      </c>
      <c r="B25" s="43" t="s">
        <v>186</v>
      </c>
      <c r="C25" s="18" t="s">
        <v>188</v>
      </c>
      <c r="D25" s="30" t="s">
        <v>273</v>
      </c>
      <c r="E25" s="18"/>
      <c r="F25" s="30"/>
      <c r="G25" s="38">
        <f t="shared" si="1"/>
        <v>89884.6</v>
      </c>
      <c r="H25" s="306">
        <f t="shared" si="1"/>
        <v>5147</v>
      </c>
      <c r="I25" s="81"/>
    </row>
    <row r="26" spans="1:9" s="48" customFormat="1" ht="15.75">
      <c r="A26" s="27" t="s">
        <v>50</v>
      </c>
      <c r="B26" s="43" t="s">
        <v>186</v>
      </c>
      <c r="C26" s="18" t="s">
        <v>188</v>
      </c>
      <c r="D26" s="30" t="s">
        <v>275</v>
      </c>
      <c r="E26" s="18"/>
      <c r="F26" s="30"/>
      <c r="G26" s="38">
        <f t="shared" si="1"/>
        <v>89884.6</v>
      </c>
      <c r="H26" s="306">
        <f t="shared" si="1"/>
        <v>5147</v>
      </c>
      <c r="I26" s="81"/>
    </row>
    <row r="27" spans="1:9" s="48" customFormat="1" ht="15.75">
      <c r="A27" s="27" t="s">
        <v>146</v>
      </c>
      <c r="B27" s="43" t="s">
        <v>186</v>
      </c>
      <c r="C27" s="18" t="s">
        <v>188</v>
      </c>
      <c r="D27" s="30" t="s">
        <v>275</v>
      </c>
      <c r="E27" s="18" t="s">
        <v>274</v>
      </c>
      <c r="F27" s="30"/>
      <c r="G27" s="38">
        <f>'Прилож №5'!H20</f>
        <v>89884.6</v>
      </c>
      <c r="H27" s="306">
        <f>'Прилож №5'!I20</f>
        <v>5147</v>
      </c>
      <c r="I27" s="81"/>
    </row>
    <row r="28" spans="1:9" s="23" customFormat="1" ht="15.75">
      <c r="A28" s="106" t="s">
        <v>395</v>
      </c>
      <c r="B28" s="292" t="s">
        <v>186</v>
      </c>
      <c r="C28" s="144" t="s">
        <v>200</v>
      </c>
      <c r="D28" s="145"/>
      <c r="E28" s="144"/>
      <c r="F28" s="145"/>
      <c r="G28" s="146">
        <f>G29</f>
        <v>38.1</v>
      </c>
      <c r="H28" s="308"/>
      <c r="I28" s="111"/>
    </row>
    <row r="29" spans="1:9" s="48" customFormat="1" ht="15.75">
      <c r="A29" s="27" t="s">
        <v>147</v>
      </c>
      <c r="B29" s="43" t="s">
        <v>186</v>
      </c>
      <c r="C29" s="18" t="s">
        <v>200</v>
      </c>
      <c r="D29" s="30" t="s">
        <v>396</v>
      </c>
      <c r="E29" s="18"/>
      <c r="F29" s="30"/>
      <c r="G29" s="38">
        <f>G30</f>
        <v>38.1</v>
      </c>
      <c r="H29" s="306"/>
      <c r="I29" s="81"/>
    </row>
    <row r="30" spans="1:9" s="48" customFormat="1" ht="26.25">
      <c r="A30" s="35" t="s">
        <v>397</v>
      </c>
      <c r="B30" s="43" t="s">
        <v>186</v>
      </c>
      <c r="C30" s="18" t="s">
        <v>200</v>
      </c>
      <c r="D30" s="30" t="s">
        <v>399</v>
      </c>
      <c r="E30" s="18"/>
      <c r="F30" s="30"/>
      <c r="G30" s="38">
        <f>G31</f>
        <v>38.1</v>
      </c>
      <c r="H30" s="306"/>
      <c r="I30" s="81"/>
    </row>
    <row r="31" spans="1:9" s="48" customFormat="1" ht="15.75">
      <c r="A31" s="27" t="s">
        <v>146</v>
      </c>
      <c r="B31" s="43" t="s">
        <v>186</v>
      </c>
      <c r="C31" s="18" t="s">
        <v>200</v>
      </c>
      <c r="D31" s="30" t="s">
        <v>399</v>
      </c>
      <c r="E31" s="18" t="s">
        <v>274</v>
      </c>
      <c r="F31" s="30"/>
      <c r="G31" s="38">
        <f>'Прилож №5'!H24</f>
        <v>38.1</v>
      </c>
      <c r="H31" s="306"/>
      <c r="I31" s="81"/>
    </row>
    <row r="32" spans="1:9" s="48" customFormat="1" ht="26.25">
      <c r="A32" s="120" t="s">
        <v>413</v>
      </c>
      <c r="B32" s="260" t="s">
        <v>186</v>
      </c>
      <c r="C32" s="141" t="s">
        <v>205</v>
      </c>
      <c r="D32" s="142"/>
      <c r="E32" s="141"/>
      <c r="F32" s="142"/>
      <c r="G32" s="143">
        <f>G33</f>
        <v>5821.6</v>
      </c>
      <c r="H32" s="307">
        <f>H33</f>
        <v>5018</v>
      </c>
      <c r="I32" s="81"/>
    </row>
    <row r="33" spans="1:9" s="48" customFormat="1" ht="15.75">
      <c r="A33" s="27" t="s">
        <v>146</v>
      </c>
      <c r="B33" s="43" t="s">
        <v>186</v>
      </c>
      <c r="C33" s="18" t="s">
        <v>205</v>
      </c>
      <c r="D33" s="30" t="s">
        <v>275</v>
      </c>
      <c r="E33" s="18"/>
      <c r="F33" s="30"/>
      <c r="G33" s="38">
        <f>G34</f>
        <v>5821.6</v>
      </c>
      <c r="H33" s="306">
        <f>H34</f>
        <v>5018</v>
      </c>
      <c r="I33" s="81"/>
    </row>
    <row r="34" spans="1:9" s="48" customFormat="1" ht="15.75">
      <c r="A34" s="27" t="s">
        <v>146</v>
      </c>
      <c r="B34" s="43" t="s">
        <v>186</v>
      </c>
      <c r="C34" s="18" t="s">
        <v>205</v>
      </c>
      <c r="D34" s="30" t="s">
        <v>275</v>
      </c>
      <c r="E34" s="18" t="s">
        <v>274</v>
      </c>
      <c r="F34" s="30"/>
      <c r="G34" s="38">
        <f>'Прилож №5'!H460</f>
        <v>5821.6</v>
      </c>
      <c r="H34" s="306">
        <f>'Прилож №5'!I460</f>
        <v>5018</v>
      </c>
      <c r="I34" s="81"/>
    </row>
    <row r="35" spans="1:9" s="23" customFormat="1" ht="15.75">
      <c r="A35" s="106" t="s">
        <v>302</v>
      </c>
      <c r="B35" s="292" t="s">
        <v>186</v>
      </c>
      <c r="C35" s="144" t="s">
        <v>194</v>
      </c>
      <c r="D35" s="145"/>
      <c r="E35" s="144"/>
      <c r="F35" s="145"/>
      <c r="G35" s="146">
        <f>G36</f>
        <v>1103.4</v>
      </c>
      <c r="H35" s="308">
        <f>H36</f>
        <v>0</v>
      </c>
      <c r="I35" s="111"/>
    </row>
    <row r="36" spans="1:9" s="48" customFormat="1" ht="15.75">
      <c r="A36" s="27" t="s">
        <v>303</v>
      </c>
      <c r="B36" s="43" t="s">
        <v>186</v>
      </c>
      <c r="C36" s="18" t="s">
        <v>194</v>
      </c>
      <c r="D36" s="30" t="s">
        <v>304</v>
      </c>
      <c r="E36" s="18"/>
      <c r="F36" s="105"/>
      <c r="G36" s="38">
        <f>G37+G39</f>
        <v>1103.4</v>
      </c>
      <c r="H36" s="306">
        <f>H37+H39</f>
        <v>0</v>
      </c>
      <c r="I36" s="81"/>
    </row>
    <row r="37" spans="1:9" s="48" customFormat="1" ht="26.25">
      <c r="A37" s="35" t="s">
        <v>305</v>
      </c>
      <c r="B37" s="43" t="s">
        <v>186</v>
      </c>
      <c r="C37" s="18" t="s">
        <v>194</v>
      </c>
      <c r="D37" s="30" t="s">
        <v>306</v>
      </c>
      <c r="E37" s="18"/>
      <c r="F37" s="105"/>
      <c r="G37" s="38">
        <f>G38</f>
        <v>346.5</v>
      </c>
      <c r="H37" s="306">
        <f>H38</f>
        <v>0</v>
      </c>
      <c r="I37" s="81"/>
    </row>
    <row r="38" spans="1:9" s="48" customFormat="1" ht="15.75">
      <c r="A38" s="27" t="s">
        <v>146</v>
      </c>
      <c r="B38" s="43" t="s">
        <v>186</v>
      </c>
      <c r="C38" s="18" t="s">
        <v>194</v>
      </c>
      <c r="D38" s="30" t="s">
        <v>306</v>
      </c>
      <c r="E38" s="18" t="s">
        <v>274</v>
      </c>
      <c r="F38" s="105" t="s">
        <v>274</v>
      </c>
      <c r="G38" s="38">
        <f>'Прилож №5'!H445</f>
        <v>346.5</v>
      </c>
      <c r="H38" s="306">
        <f>'Прилож №5'!I445</f>
        <v>0</v>
      </c>
      <c r="I38" s="81"/>
    </row>
    <row r="39" spans="1:9" s="48" customFormat="1" ht="15.75">
      <c r="A39" s="35" t="s">
        <v>307</v>
      </c>
      <c r="B39" s="43" t="s">
        <v>186</v>
      </c>
      <c r="C39" s="18" t="s">
        <v>194</v>
      </c>
      <c r="D39" s="30" t="s">
        <v>308</v>
      </c>
      <c r="E39" s="18"/>
      <c r="F39" s="105"/>
      <c r="G39" s="38">
        <f>G40</f>
        <v>756.9</v>
      </c>
      <c r="H39" s="306">
        <f>H40</f>
        <v>0</v>
      </c>
      <c r="I39" s="81"/>
    </row>
    <row r="40" spans="1:9" s="48" customFormat="1" ht="16.5" customHeight="1">
      <c r="A40" s="33" t="s">
        <v>146</v>
      </c>
      <c r="B40" s="43" t="s">
        <v>186</v>
      </c>
      <c r="C40" s="18" t="s">
        <v>194</v>
      </c>
      <c r="D40" s="18" t="s">
        <v>308</v>
      </c>
      <c r="E40" s="20" t="s">
        <v>274</v>
      </c>
      <c r="F40" s="251" t="s">
        <v>274</v>
      </c>
      <c r="G40" s="38">
        <f>'Прилож №5'!H447</f>
        <v>756.9</v>
      </c>
      <c r="H40" s="306">
        <f>'Прилож №5'!I447</f>
        <v>0</v>
      </c>
      <c r="I40" s="81"/>
    </row>
    <row r="41" spans="1:9" s="48" customFormat="1" ht="15.75">
      <c r="A41" s="277" t="s">
        <v>16</v>
      </c>
      <c r="B41" s="292" t="s">
        <v>186</v>
      </c>
      <c r="C41" s="144" t="s">
        <v>189</v>
      </c>
      <c r="D41" s="139"/>
      <c r="E41" s="144"/>
      <c r="F41" s="145" t="s">
        <v>1</v>
      </c>
      <c r="G41" s="146">
        <f aca="true" t="shared" si="2" ref="G41:H43">G42</f>
        <v>6000.000000000001</v>
      </c>
      <c r="H41" s="308">
        <f t="shared" si="2"/>
        <v>0</v>
      </c>
      <c r="I41" s="81"/>
    </row>
    <row r="42" spans="1:9" s="48" customFormat="1" ht="15.75">
      <c r="A42" s="26" t="s">
        <v>16</v>
      </c>
      <c r="B42" s="44" t="s">
        <v>186</v>
      </c>
      <c r="C42" s="20" t="s">
        <v>189</v>
      </c>
      <c r="D42" s="31" t="s">
        <v>19</v>
      </c>
      <c r="E42" s="18"/>
      <c r="F42" s="31"/>
      <c r="G42" s="36">
        <f t="shared" si="2"/>
        <v>6000.000000000001</v>
      </c>
      <c r="H42" s="309">
        <f t="shared" si="2"/>
        <v>0</v>
      </c>
      <c r="I42" s="81"/>
    </row>
    <row r="43" spans="1:9" s="48" customFormat="1" ht="15.75">
      <c r="A43" s="47" t="s">
        <v>149</v>
      </c>
      <c r="B43" s="44" t="s">
        <v>186</v>
      </c>
      <c r="C43" s="20" t="s">
        <v>189</v>
      </c>
      <c r="D43" s="31" t="s">
        <v>150</v>
      </c>
      <c r="E43" s="18"/>
      <c r="F43" s="31"/>
      <c r="G43" s="36">
        <f t="shared" si="2"/>
        <v>6000.000000000001</v>
      </c>
      <c r="H43" s="309">
        <f t="shared" si="2"/>
        <v>0</v>
      </c>
      <c r="I43" s="81"/>
    </row>
    <row r="44" spans="1:9" s="48" customFormat="1" ht="15.75">
      <c r="A44" s="27" t="s">
        <v>148</v>
      </c>
      <c r="B44" s="43" t="s">
        <v>186</v>
      </c>
      <c r="C44" s="18" t="s">
        <v>189</v>
      </c>
      <c r="D44" s="30" t="s">
        <v>150</v>
      </c>
      <c r="E44" s="18" t="s">
        <v>128</v>
      </c>
      <c r="F44" s="30"/>
      <c r="G44" s="38">
        <f>'Прилож №5'!H28</f>
        <v>6000.000000000001</v>
      </c>
      <c r="H44" s="306">
        <f>'Прилож №5'!I28</f>
        <v>0</v>
      </c>
      <c r="I44" s="81"/>
    </row>
    <row r="45" spans="1:9" s="48" customFormat="1" ht="15.75">
      <c r="A45" s="277" t="s">
        <v>80</v>
      </c>
      <c r="B45" s="292" t="s">
        <v>186</v>
      </c>
      <c r="C45" s="144" t="s">
        <v>190</v>
      </c>
      <c r="D45" s="145"/>
      <c r="E45" s="144"/>
      <c r="F45" s="145"/>
      <c r="G45" s="146">
        <f>G46+G49+G52</f>
        <v>54250.6</v>
      </c>
      <c r="H45" s="308">
        <f>H46+H49</f>
        <v>0</v>
      </c>
      <c r="I45" s="81"/>
    </row>
    <row r="46" spans="1:9" s="48" customFormat="1" ht="39">
      <c r="A46" s="47" t="s">
        <v>295</v>
      </c>
      <c r="B46" s="43" t="s">
        <v>186</v>
      </c>
      <c r="C46" s="18" t="s">
        <v>190</v>
      </c>
      <c r="D46" s="30" t="s">
        <v>273</v>
      </c>
      <c r="E46" s="18"/>
      <c r="F46" s="30"/>
      <c r="G46" s="38">
        <f>G47</f>
        <v>20938.699999999997</v>
      </c>
      <c r="H46" s="306">
        <f>H47</f>
        <v>0</v>
      </c>
      <c r="I46" s="81"/>
    </row>
    <row r="47" spans="1:9" s="48" customFormat="1" ht="15.75">
      <c r="A47" s="25" t="s">
        <v>50</v>
      </c>
      <c r="B47" s="43" t="s">
        <v>186</v>
      </c>
      <c r="C47" s="18" t="s">
        <v>190</v>
      </c>
      <c r="D47" s="30" t="s">
        <v>275</v>
      </c>
      <c r="E47" s="18"/>
      <c r="F47" s="30"/>
      <c r="G47" s="38">
        <f>G48</f>
        <v>20938.699999999997</v>
      </c>
      <c r="H47" s="306">
        <f>H48</f>
        <v>0</v>
      </c>
      <c r="I47" s="81"/>
    </row>
    <row r="48" spans="1:9" s="48" customFormat="1" ht="15.75">
      <c r="A48" s="27" t="s">
        <v>146</v>
      </c>
      <c r="B48" s="43" t="s">
        <v>186</v>
      </c>
      <c r="C48" s="18" t="s">
        <v>190</v>
      </c>
      <c r="D48" s="30" t="s">
        <v>275</v>
      </c>
      <c r="E48" s="18" t="s">
        <v>274</v>
      </c>
      <c r="F48" s="30"/>
      <c r="G48" s="38">
        <f>'Прилож №5'!H347+'Прилож №5'!H400</f>
        <v>20938.699999999997</v>
      </c>
      <c r="H48" s="306">
        <f>'Прилож №5'!I347+'Прилож №5'!I400</f>
        <v>0</v>
      </c>
      <c r="I48" s="81"/>
    </row>
    <row r="49" spans="1:9" s="48" customFormat="1" ht="26.25">
      <c r="A49" s="47" t="s">
        <v>204</v>
      </c>
      <c r="B49" s="43" t="s">
        <v>186</v>
      </c>
      <c r="C49" s="18" t="s">
        <v>190</v>
      </c>
      <c r="D49" s="30" t="s">
        <v>138</v>
      </c>
      <c r="E49" s="18"/>
      <c r="F49" s="30"/>
      <c r="G49" s="38">
        <f>G50</f>
        <v>32811.9</v>
      </c>
      <c r="H49" s="306">
        <f>H50</f>
        <v>0</v>
      </c>
      <c r="I49" s="81"/>
    </row>
    <row r="50" spans="1:9" s="48" customFormat="1" ht="15.75">
      <c r="A50" s="47" t="s">
        <v>77</v>
      </c>
      <c r="B50" s="43" t="s">
        <v>186</v>
      </c>
      <c r="C50" s="18" t="s">
        <v>190</v>
      </c>
      <c r="D50" s="30" t="s">
        <v>203</v>
      </c>
      <c r="E50" s="18"/>
      <c r="F50" s="30"/>
      <c r="G50" s="38">
        <f>G51</f>
        <v>32811.9</v>
      </c>
      <c r="H50" s="306">
        <f>H51</f>
        <v>0</v>
      </c>
      <c r="I50" s="81"/>
    </row>
    <row r="51" spans="1:9" s="48" customFormat="1" ht="15.75">
      <c r="A51" s="33" t="s">
        <v>146</v>
      </c>
      <c r="B51" s="44" t="s">
        <v>186</v>
      </c>
      <c r="C51" s="20" t="s">
        <v>190</v>
      </c>
      <c r="D51" s="31" t="s">
        <v>203</v>
      </c>
      <c r="E51" s="20" t="s">
        <v>274</v>
      </c>
      <c r="F51" s="31"/>
      <c r="G51" s="36">
        <f>'Прилож №5'!H403+'Прилож №5'!H30</f>
        <v>32811.9</v>
      </c>
      <c r="H51" s="309">
        <f>'Прилож №5'!I403</f>
        <v>0</v>
      </c>
      <c r="I51" s="110"/>
    </row>
    <row r="52" spans="1:9" s="48" customFormat="1" ht="15.75">
      <c r="A52" s="25" t="s">
        <v>131</v>
      </c>
      <c r="B52" s="44" t="s">
        <v>186</v>
      </c>
      <c r="C52" s="20" t="s">
        <v>190</v>
      </c>
      <c r="D52" s="30" t="s">
        <v>132</v>
      </c>
      <c r="E52" s="18"/>
      <c r="F52" s="30"/>
      <c r="G52" s="38">
        <f>G53</f>
        <v>500</v>
      </c>
      <c r="H52" s="306"/>
      <c r="I52" s="110"/>
    </row>
    <row r="53" spans="1:9" s="48" customFormat="1" ht="26.25">
      <c r="A53" s="47" t="s">
        <v>340</v>
      </c>
      <c r="B53" s="44" t="s">
        <v>186</v>
      </c>
      <c r="C53" s="20" t="s">
        <v>190</v>
      </c>
      <c r="D53" s="30" t="s">
        <v>341</v>
      </c>
      <c r="E53" s="18"/>
      <c r="F53" s="30"/>
      <c r="G53" s="38">
        <f>G54</f>
        <v>500</v>
      </c>
      <c r="H53" s="306"/>
      <c r="I53" s="110"/>
    </row>
    <row r="54" spans="1:9" s="48" customFormat="1" ht="16.5" thickBot="1">
      <c r="A54" s="33" t="s">
        <v>146</v>
      </c>
      <c r="B54" s="44" t="s">
        <v>186</v>
      </c>
      <c r="C54" s="20" t="s">
        <v>190</v>
      </c>
      <c r="D54" s="31" t="s">
        <v>341</v>
      </c>
      <c r="E54" s="20" t="s">
        <v>274</v>
      </c>
      <c r="F54" s="31"/>
      <c r="G54" s="36">
        <f>'Прилож №5'!H35</f>
        <v>500</v>
      </c>
      <c r="H54" s="309"/>
      <c r="I54" s="110"/>
    </row>
    <row r="55" spans="1:9" s="48" customFormat="1" ht="16.5" thickBot="1">
      <c r="A55" s="278" t="s">
        <v>81</v>
      </c>
      <c r="B55" s="293" t="s">
        <v>187</v>
      </c>
      <c r="C55" s="151" t="s">
        <v>126</v>
      </c>
      <c r="D55" s="152"/>
      <c r="E55" s="151"/>
      <c r="F55" s="152"/>
      <c r="G55" s="153">
        <f aca="true" t="shared" si="3" ref="G55:H58">G56</f>
        <v>179.29999999999995</v>
      </c>
      <c r="H55" s="310">
        <f t="shared" si="3"/>
        <v>0</v>
      </c>
      <c r="I55" s="81"/>
    </row>
    <row r="56" spans="1:9" s="48" customFormat="1" ht="15.75">
      <c r="A56" s="279" t="s">
        <v>82</v>
      </c>
      <c r="B56" s="291" t="s">
        <v>187</v>
      </c>
      <c r="C56" s="138" t="s">
        <v>188</v>
      </c>
      <c r="D56" s="154"/>
      <c r="E56" s="138"/>
      <c r="F56" s="154"/>
      <c r="G56" s="140">
        <f t="shared" si="3"/>
        <v>179.29999999999995</v>
      </c>
      <c r="H56" s="305">
        <f t="shared" si="3"/>
        <v>0</v>
      </c>
      <c r="I56" s="81"/>
    </row>
    <row r="57" spans="1:9" s="48" customFormat="1" ht="26.25">
      <c r="A57" s="47" t="s">
        <v>104</v>
      </c>
      <c r="B57" s="43" t="s">
        <v>187</v>
      </c>
      <c r="C57" s="18" t="s">
        <v>188</v>
      </c>
      <c r="D57" s="30" t="s">
        <v>83</v>
      </c>
      <c r="E57" s="18"/>
      <c r="F57" s="30"/>
      <c r="G57" s="38">
        <f t="shared" si="3"/>
        <v>179.29999999999995</v>
      </c>
      <c r="H57" s="306">
        <f t="shared" si="3"/>
        <v>0</v>
      </c>
      <c r="I57" s="81"/>
    </row>
    <row r="58" spans="1:9" s="48" customFormat="1" ht="17.25" customHeight="1">
      <c r="A58" s="47" t="s">
        <v>105</v>
      </c>
      <c r="B58" s="43" t="s">
        <v>187</v>
      </c>
      <c r="C58" s="18" t="s">
        <v>188</v>
      </c>
      <c r="D58" s="30" t="s">
        <v>151</v>
      </c>
      <c r="E58" s="18"/>
      <c r="F58" s="10"/>
      <c r="G58" s="36">
        <f t="shared" si="3"/>
        <v>179.29999999999995</v>
      </c>
      <c r="H58" s="309">
        <f t="shared" si="3"/>
        <v>0</v>
      </c>
      <c r="I58" s="81"/>
    </row>
    <row r="59" spans="1:9" s="48" customFormat="1" ht="15" customHeight="1" thickBot="1">
      <c r="A59" s="27" t="s">
        <v>146</v>
      </c>
      <c r="B59" s="44" t="s">
        <v>187</v>
      </c>
      <c r="C59" s="20" t="s">
        <v>188</v>
      </c>
      <c r="D59" s="31" t="s">
        <v>151</v>
      </c>
      <c r="E59" s="20" t="s">
        <v>274</v>
      </c>
      <c r="F59" s="10"/>
      <c r="G59" s="36">
        <f>'Прилож №5'!H40</f>
        <v>179.29999999999995</v>
      </c>
      <c r="H59" s="309">
        <f>'Прилож №5'!I40</f>
        <v>0</v>
      </c>
      <c r="I59" s="81"/>
    </row>
    <row r="60" spans="1:9" s="158" customFormat="1" ht="32.25" customHeight="1" thickBot="1">
      <c r="A60" s="280" t="s">
        <v>115</v>
      </c>
      <c r="B60" s="294" t="s">
        <v>191</v>
      </c>
      <c r="C60" s="155" t="s">
        <v>126</v>
      </c>
      <c r="D60" s="156"/>
      <c r="E60" s="155"/>
      <c r="F60" s="157" t="s">
        <v>2</v>
      </c>
      <c r="G60" s="230">
        <f>G61+G77+G84</f>
        <v>27702.800000000003</v>
      </c>
      <c r="H60" s="311">
        <f>H61+H77+H84</f>
        <v>2989</v>
      </c>
      <c r="I60" s="110"/>
    </row>
    <row r="61" spans="1:9" s="23" customFormat="1" ht="15.75">
      <c r="A61" s="147" t="s">
        <v>20</v>
      </c>
      <c r="B61" s="291" t="s">
        <v>191</v>
      </c>
      <c r="C61" s="138" t="s">
        <v>187</v>
      </c>
      <c r="D61" s="154"/>
      <c r="E61" s="138"/>
      <c r="F61" s="154"/>
      <c r="G61" s="140">
        <f>G62</f>
        <v>20294.4</v>
      </c>
      <c r="H61" s="305">
        <f>H62</f>
        <v>2925</v>
      </c>
      <c r="I61" s="81"/>
    </row>
    <row r="62" spans="1:9" s="48" customFormat="1" ht="15.75">
      <c r="A62" s="281" t="s">
        <v>85</v>
      </c>
      <c r="B62" s="260" t="s">
        <v>191</v>
      </c>
      <c r="C62" s="141" t="s">
        <v>187</v>
      </c>
      <c r="D62" s="142" t="s">
        <v>52</v>
      </c>
      <c r="E62" s="141"/>
      <c r="F62" s="142"/>
      <c r="G62" s="143">
        <f>G63+G65+G67+G72+G75</f>
        <v>20294.4</v>
      </c>
      <c r="H62" s="307">
        <f>H63+H65+H67+H72+H75</f>
        <v>2925</v>
      </c>
      <c r="I62" s="81"/>
    </row>
    <row r="63" spans="1:9" s="48" customFormat="1" ht="60">
      <c r="A63" s="282" t="s">
        <v>153</v>
      </c>
      <c r="B63" s="260" t="s">
        <v>191</v>
      </c>
      <c r="C63" s="141" t="s">
        <v>187</v>
      </c>
      <c r="D63" s="142" t="s">
        <v>152</v>
      </c>
      <c r="E63" s="141"/>
      <c r="F63" s="142"/>
      <c r="G63" s="143">
        <f>G64</f>
        <v>2776.4</v>
      </c>
      <c r="H63" s="307">
        <f>H64</f>
        <v>2355</v>
      </c>
      <c r="I63" s="81"/>
    </row>
    <row r="64" spans="1:9" s="48" customFormat="1" ht="30" customHeight="1">
      <c r="A64" s="282" t="s">
        <v>154</v>
      </c>
      <c r="B64" s="260" t="s">
        <v>191</v>
      </c>
      <c r="C64" s="141" t="s">
        <v>187</v>
      </c>
      <c r="D64" s="142" t="s">
        <v>152</v>
      </c>
      <c r="E64" s="141" t="s">
        <v>129</v>
      </c>
      <c r="F64" s="142"/>
      <c r="G64" s="143">
        <f>'Прилож №5'!H427</f>
        <v>2776.4</v>
      </c>
      <c r="H64" s="307">
        <f>'Прилож №5'!I427</f>
        <v>2355</v>
      </c>
      <c r="I64" s="81"/>
    </row>
    <row r="65" spans="1:9" s="48" customFormat="1" ht="15.75">
      <c r="A65" s="281" t="s">
        <v>155</v>
      </c>
      <c r="B65" s="260" t="s">
        <v>191</v>
      </c>
      <c r="C65" s="141" t="s">
        <v>187</v>
      </c>
      <c r="D65" s="142" t="s">
        <v>156</v>
      </c>
      <c r="E65" s="141"/>
      <c r="F65" s="142"/>
      <c r="G65" s="143">
        <f>G66</f>
        <v>11317.6</v>
      </c>
      <c r="H65" s="307">
        <f>H66</f>
        <v>0</v>
      </c>
      <c r="I65" s="81"/>
    </row>
    <row r="66" spans="1:9" s="48" customFormat="1" ht="30" customHeight="1">
      <c r="A66" s="282" t="s">
        <v>154</v>
      </c>
      <c r="B66" s="260" t="s">
        <v>191</v>
      </c>
      <c r="C66" s="141" t="s">
        <v>187</v>
      </c>
      <c r="D66" s="142" t="s">
        <v>157</v>
      </c>
      <c r="E66" s="141" t="s">
        <v>129</v>
      </c>
      <c r="F66" s="142"/>
      <c r="G66" s="143">
        <f>'Прилож №5'!H429</f>
        <v>11317.6</v>
      </c>
      <c r="H66" s="307">
        <f>'Прилож №5'!I429</f>
        <v>0</v>
      </c>
      <c r="I66" s="81"/>
    </row>
    <row r="67" spans="1:9" s="48" customFormat="1" ht="30">
      <c r="A67" s="282" t="s">
        <v>158</v>
      </c>
      <c r="B67" s="260" t="s">
        <v>191</v>
      </c>
      <c r="C67" s="141" t="s">
        <v>187</v>
      </c>
      <c r="D67" s="142" t="s">
        <v>159</v>
      </c>
      <c r="E67" s="141"/>
      <c r="F67" s="142"/>
      <c r="G67" s="143">
        <f>G68+G70</f>
        <v>5298.9</v>
      </c>
      <c r="H67" s="307">
        <f>H68+H70</f>
        <v>570</v>
      </c>
      <c r="I67" s="81"/>
    </row>
    <row r="68" spans="1:9" s="48" customFormat="1" ht="15.75">
      <c r="A68" s="281" t="s">
        <v>160</v>
      </c>
      <c r="B68" s="260" t="s">
        <v>191</v>
      </c>
      <c r="C68" s="141" t="s">
        <v>187</v>
      </c>
      <c r="D68" s="142" t="s">
        <v>161</v>
      </c>
      <c r="E68" s="141"/>
      <c r="F68" s="142"/>
      <c r="G68" s="143">
        <f>G69</f>
        <v>1090.5</v>
      </c>
      <c r="H68" s="307">
        <f>H69</f>
        <v>0</v>
      </c>
      <c r="I68" s="81"/>
    </row>
    <row r="69" spans="1:9" s="48" customFormat="1" ht="32.25" customHeight="1">
      <c r="A69" s="282" t="s">
        <v>154</v>
      </c>
      <c r="B69" s="260" t="s">
        <v>191</v>
      </c>
      <c r="C69" s="141" t="s">
        <v>187</v>
      </c>
      <c r="D69" s="142" t="s">
        <v>161</v>
      </c>
      <c r="E69" s="141" t="s">
        <v>129</v>
      </c>
      <c r="F69" s="142"/>
      <c r="G69" s="143">
        <f>'Прилож №5'!H432</f>
        <v>1090.5</v>
      </c>
      <c r="H69" s="307">
        <f>'Прилож №5'!I432</f>
        <v>0</v>
      </c>
      <c r="I69" s="81"/>
    </row>
    <row r="70" spans="1:9" s="48" customFormat="1" ht="30">
      <c r="A70" s="282" t="s">
        <v>163</v>
      </c>
      <c r="B70" s="260" t="s">
        <v>191</v>
      </c>
      <c r="C70" s="141" t="s">
        <v>187</v>
      </c>
      <c r="D70" s="142" t="s">
        <v>162</v>
      </c>
      <c r="E70" s="141"/>
      <c r="F70" s="142"/>
      <c r="G70" s="143">
        <f>G71</f>
        <v>4208.4</v>
      </c>
      <c r="H70" s="307">
        <f>H71</f>
        <v>570</v>
      </c>
      <c r="I70" s="81"/>
    </row>
    <row r="71" spans="1:9" s="48" customFormat="1" ht="31.5" customHeight="1">
      <c r="A71" s="282" t="s">
        <v>154</v>
      </c>
      <c r="B71" s="260" t="s">
        <v>191</v>
      </c>
      <c r="C71" s="141" t="s">
        <v>187</v>
      </c>
      <c r="D71" s="142" t="s">
        <v>162</v>
      </c>
      <c r="E71" s="141" t="s">
        <v>129</v>
      </c>
      <c r="F71" s="142"/>
      <c r="G71" s="143">
        <f>'Прилож №5'!H434</f>
        <v>4208.4</v>
      </c>
      <c r="H71" s="307">
        <f>'Прилож №5'!I434</f>
        <v>570</v>
      </c>
      <c r="I71" s="81"/>
    </row>
    <row r="72" spans="1:9" s="48" customFormat="1" ht="15.75">
      <c r="A72" s="281" t="s">
        <v>53</v>
      </c>
      <c r="B72" s="260" t="s">
        <v>191</v>
      </c>
      <c r="C72" s="141" t="s">
        <v>187</v>
      </c>
      <c r="D72" s="142" t="s">
        <v>164</v>
      </c>
      <c r="E72" s="141"/>
      <c r="F72" s="142"/>
      <c r="G72" s="143">
        <f>G73</f>
        <v>196.5</v>
      </c>
      <c r="H72" s="307">
        <f>H73</f>
        <v>0</v>
      </c>
      <c r="I72" s="81"/>
    </row>
    <row r="73" spans="1:9" s="48" customFormat="1" ht="15.75">
      <c r="A73" s="281" t="s">
        <v>165</v>
      </c>
      <c r="B73" s="260" t="s">
        <v>191</v>
      </c>
      <c r="C73" s="141" t="s">
        <v>187</v>
      </c>
      <c r="D73" s="142" t="s">
        <v>166</v>
      </c>
      <c r="E73" s="141"/>
      <c r="F73" s="142"/>
      <c r="G73" s="143">
        <f>G74</f>
        <v>196.5</v>
      </c>
      <c r="H73" s="307">
        <f>H74</f>
        <v>0</v>
      </c>
      <c r="I73" s="81"/>
    </row>
    <row r="74" spans="1:9" s="48" customFormat="1" ht="31.5" customHeight="1">
      <c r="A74" s="282" t="s">
        <v>154</v>
      </c>
      <c r="B74" s="260" t="s">
        <v>191</v>
      </c>
      <c r="C74" s="141" t="s">
        <v>187</v>
      </c>
      <c r="D74" s="142" t="s">
        <v>166</v>
      </c>
      <c r="E74" s="141" t="s">
        <v>129</v>
      </c>
      <c r="F74" s="142"/>
      <c r="G74" s="143">
        <f>'Прилож №5'!H437</f>
        <v>196.5</v>
      </c>
      <c r="H74" s="307">
        <f>'Прилож №5'!I437</f>
        <v>0</v>
      </c>
      <c r="I74" s="110"/>
    </row>
    <row r="75" spans="1:9" s="48" customFormat="1" ht="30">
      <c r="A75" s="282" t="s">
        <v>106</v>
      </c>
      <c r="B75" s="260" t="s">
        <v>191</v>
      </c>
      <c r="C75" s="141" t="s">
        <v>187</v>
      </c>
      <c r="D75" s="142" t="s">
        <v>167</v>
      </c>
      <c r="E75" s="141"/>
      <c r="F75" s="142"/>
      <c r="G75" s="143">
        <f>G76</f>
        <v>705</v>
      </c>
      <c r="H75" s="307">
        <f>H76</f>
        <v>0</v>
      </c>
      <c r="I75" s="81"/>
    </row>
    <row r="76" spans="1:9" s="48" customFormat="1" ht="15.75">
      <c r="A76" s="283" t="s">
        <v>168</v>
      </c>
      <c r="B76" s="295" t="s">
        <v>191</v>
      </c>
      <c r="C76" s="148" t="s">
        <v>187</v>
      </c>
      <c r="D76" s="149" t="s">
        <v>167</v>
      </c>
      <c r="E76" s="148" t="s">
        <v>51</v>
      </c>
      <c r="F76" s="149"/>
      <c r="G76" s="150">
        <f>'Прилож №5'!H439</f>
        <v>705</v>
      </c>
      <c r="H76" s="312">
        <f>'Прилож №5'!I439</f>
        <v>0</v>
      </c>
      <c r="I76" s="81"/>
    </row>
    <row r="77" spans="1:9" s="48" customFormat="1" ht="31.5" customHeight="1">
      <c r="A77" s="276" t="s">
        <v>169</v>
      </c>
      <c r="B77" s="292" t="s">
        <v>191</v>
      </c>
      <c r="C77" s="144" t="s">
        <v>192</v>
      </c>
      <c r="D77" s="145"/>
      <c r="E77" s="144"/>
      <c r="F77" s="145"/>
      <c r="G77" s="146">
        <f>G81+G78</f>
        <v>3715.3999999999996</v>
      </c>
      <c r="H77" s="308">
        <f>H81+H78</f>
        <v>0</v>
      </c>
      <c r="I77" s="81"/>
    </row>
    <row r="78" spans="1:9" s="48" customFormat="1" ht="27" customHeight="1">
      <c r="A78" s="275" t="s">
        <v>139</v>
      </c>
      <c r="B78" s="296" t="s">
        <v>191</v>
      </c>
      <c r="C78" s="159" t="s">
        <v>192</v>
      </c>
      <c r="D78" s="160" t="s">
        <v>140</v>
      </c>
      <c r="E78" s="159"/>
      <c r="F78" s="160"/>
      <c r="G78" s="161">
        <f>G79</f>
        <v>2307.3999999999996</v>
      </c>
      <c r="H78" s="313">
        <f>H79</f>
        <v>0</v>
      </c>
      <c r="I78" s="81"/>
    </row>
    <row r="79" spans="1:9" s="48" customFormat="1" ht="27" customHeight="1">
      <c r="A79" s="275" t="s">
        <v>141</v>
      </c>
      <c r="B79" s="296" t="s">
        <v>191</v>
      </c>
      <c r="C79" s="159" t="s">
        <v>192</v>
      </c>
      <c r="D79" s="160" t="s">
        <v>170</v>
      </c>
      <c r="E79" s="159"/>
      <c r="F79" s="160"/>
      <c r="G79" s="161">
        <f>G80</f>
        <v>2307.3999999999996</v>
      </c>
      <c r="H79" s="313">
        <f>H80</f>
        <v>0</v>
      </c>
      <c r="I79" s="81"/>
    </row>
    <row r="80" spans="1:9" s="48" customFormat="1" ht="18" customHeight="1">
      <c r="A80" s="275" t="s">
        <v>148</v>
      </c>
      <c r="B80" s="260" t="s">
        <v>191</v>
      </c>
      <c r="C80" s="141" t="s">
        <v>192</v>
      </c>
      <c r="D80" s="142" t="s">
        <v>170</v>
      </c>
      <c r="E80" s="141" t="s">
        <v>128</v>
      </c>
      <c r="F80" s="142"/>
      <c r="G80" s="143">
        <f>'Прилож №5'!H45</f>
        <v>2307.3999999999996</v>
      </c>
      <c r="H80" s="307">
        <f>'Прилож №5'!I45</f>
        <v>0</v>
      </c>
      <c r="I80" s="81"/>
    </row>
    <row r="81" spans="1:9" s="48" customFormat="1" ht="15.75">
      <c r="A81" s="281" t="s">
        <v>21</v>
      </c>
      <c r="B81" s="260" t="s">
        <v>191</v>
      </c>
      <c r="C81" s="141" t="s">
        <v>192</v>
      </c>
      <c r="D81" s="142" t="s">
        <v>22</v>
      </c>
      <c r="E81" s="141"/>
      <c r="F81" s="142"/>
      <c r="G81" s="143">
        <f>G82</f>
        <v>1408</v>
      </c>
      <c r="H81" s="307">
        <f>H82</f>
        <v>0</v>
      </c>
      <c r="I81" s="81"/>
    </row>
    <row r="82" spans="1:9" s="48" customFormat="1" ht="30">
      <c r="A82" s="282" t="s">
        <v>118</v>
      </c>
      <c r="B82" s="295" t="s">
        <v>191</v>
      </c>
      <c r="C82" s="141" t="s">
        <v>192</v>
      </c>
      <c r="D82" s="142" t="s">
        <v>171</v>
      </c>
      <c r="E82" s="141"/>
      <c r="F82" s="142" t="s">
        <v>4</v>
      </c>
      <c r="G82" s="143">
        <f>G83</f>
        <v>1408</v>
      </c>
      <c r="H82" s="307">
        <f>H83</f>
        <v>0</v>
      </c>
      <c r="I82" s="81"/>
    </row>
    <row r="83" spans="1:9" s="48" customFormat="1" ht="15.75">
      <c r="A83" s="282" t="s">
        <v>172</v>
      </c>
      <c r="B83" s="295" t="s">
        <v>191</v>
      </c>
      <c r="C83" s="141" t="s">
        <v>192</v>
      </c>
      <c r="D83" s="142" t="s">
        <v>171</v>
      </c>
      <c r="E83" s="141" t="s">
        <v>86</v>
      </c>
      <c r="F83" s="142"/>
      <c r="G83" s="143">
        <f>'Прилож №5'!H48</f>
        <v>1408</v>
      </c>
      <c r="H83" s="307">
        <f>'Прилож №5'!I48</f>
        <v>0</v>
      </c>
      <c r="I83" s="81"/>
    </row>
    <row r="84" spans="1:9" s="48" customFormat="1" ht="29.25">
      <c r="A84" s="276" t="s">
        <v>107</v>
      </c>
      <c r="B84" s="292" t="s">
        <v>191</v>
      </c>
      <c r="C84" s="144" t="s">
        <v>190</v>
      </c>
      <c r="D84" s="145"/>
      <c r="E84" s="144"/>
      <c r="F84" s="145"/>
      <c r="G84" s="143">
        <f>G85+G89</f>
        <v>3693</v>
      </c>
      <c r="H84" s="307">
        <f>H85+H89</f>
        <v>64</v>
      </c>
      <c r="I84" s="81"/>
    </row>
    <row r="85" spans="1:9" s="48" customFormat="1" ht="43.5" customHeight="1">
      <c r="A85" s="270" t="s">
        <v>173</v>
      </c>
      <c r="B85" s="295" t="s">
        <v>191</v>
      </c>
      <c r="C85" s="141" t="s">
        <v>190</v>
      </c>
      <c r="D85" s="142" t="s">
        <v>84</v>
      </c>
      <c r="E85" s="141"/>
      <c r="F85" s="142"/>
      <c r="G85" s="143">
        <f>G86</f>
        <v>253</v>
      </c>
      <c r="H85" s="307">
        <f>H86</f>
        <v>64</v>
      </c>
      <c r="I85" s="81"/>
    </row>
    <row r="86" spans="1:9" s="48" customFormat="1" ht="14.25" customHeight="1">
      <c r="A86" s="283" t="s">
        <v>27</v>
      </c>
      <c r="B86" s="295" t="s">
        <v>191</v>
      </c>
      <c r="C86" s="148" t="s">
        <v>190</v>
      </c>
      <c r="D86" s="149" t="s">
        <v>174</v>
      </c>
      <c r="E86" s="148"/>
      <c r="F86" s="149"/>
      <c r="G86" s="150">
        <f>G87+G88</f>
        <v>253</v>
      </c>
      <c r="H86" s="312">
        <f>H87+H88</f>
        <v>64</v>
      </c>
      <c r="I86" s="81"/>
    </row>
    <row r="87" spans="1:9" s="48" customFormat="1" ht="19.5" customHeight="1">
      <c r="A87" s="281" t="s">
        <v>146</v>
      </c>
      <c r="B87" s="295" t="s">
        <v>191</v>
      </c>
      <c r="C87" s="148" t="s">
        <v>190</v>
      </c>
      <c r="D87" s="149" t="s">
        <v>174</v>
      </c>
      <c r="E87" s="148" t="s">
        <v>274</v>
      </c>
      <c r="F87" s="149"/>
      <c r="G87" s="150">
        <f>'Прилож №5'!H52</f>
        <v>189</v>
      </c>
      <c r="H87" s="312">
        <f>'Прилож №5'!I52</f>
        <v>0</v>
      </c>
      <c r="I87" s="110"/>
    </row>
    <row r="88" spans="1:9" s="48" customFormat="1" ht="14.25" customHeight="1">
      <c r="A88" s="282" t="s">
        <v>172</v>
      </c>
      <c r="B88" s="295" t="s">
        <v>191</v>
      </c>
      <c r="C88" s="148" t="s">
        <v>190</v>
      </c>
      <c r="D88" s="149" t="s">
        <v>174</v>
      </c>
      <c r="E88" s="148" t="s">
        <v>86</v>
      </c>
      <c r="F88" s="149"/>
      <c r="G88" s="150">
        <f>'Прилож №5'!H218</f>
        <v>64</v>
      </c>
      <c r="H88" s="312">
        <f>'Прилож №5'!I218</f>
        <v>64</v>
      </c>
      <c r="I88" s="110"/>
    </row>
    <row r="89" spans="1:9" s="48" customFormat="1" ht="13.5" customHeight="1">
      <c r="A89" s="281" t="s">
        <v>131</v>
      </c>
      <c r="B89" s="260" t="s">
        <v>191</v>
      </c>
      <c r="C89" s="141" t="s">
        <v>190</v>
      </c>
      <c r="D89" s="142" t="s">
        <v>132</v>
      </c>
      <c r="E89" s="141"/>
      <c r="F89" s="142"/>
      <c r="G89" s="143">
        <f>G90</f>
        <v>3440</v>
      </c>
      <c r="H89" s="307">
        <f>H90</f>
        <v>0</v>
      </c>
      <c r="I89" s="110"/>
    </row>
    <row r="90" spans="1:9" s="48" customFormat="1" ht="42" customHeight="1">
      <c r="A90" s="47" t="s">
        <v>357</v>
      </c>
      <c r="B90" s="260" t="s">
        <v>191</v>
      </c>
      <c r="C90" s="141" t="s">
        <v>190</v>
      </c>
      <c r="D90" s="142" t="s">
        <v>261</v>
      </c>
      <c r="E90" s="141"/>
      <c r="F90" s="142"/>
      <c r="G90" s="143">
        <f>G91</f>
        <v>3440</v>
      </c>
      <c r="H90" s="307">
        <f>H91</f>
        <v>0</v>
      </c>
      <c r="I90" s="110"/>
    </row>
    <row r="91" spans="1:9" s="48" customFormat="1" ht="15" customHeight="1" thickBot="1">
      <c r="A91" s="281" t="s">
        <v>146</v>
      </c>
      <c r="B91" s="260" t="s">
        <v>191</v>
      </c>
      <c r="C91" s="141" t="s">
        <v>190</v>
      </c>
      <c r="D91" s="142" t="s">
        <v>261</v>
      </c>
      <c r="E91" s="141" t="s">
        <v>274</v>
      </c>
      <c r="F91" s="142"/>
      <c r="G91" s="143">
        <f>'Прилож №5'!H55</f>
        <v>3440</v>
      </c>
      <c r="H91" s="307">
        <f>'Прилож №5'!I55</f>
        <v>0</v>
      </c>
      <c r="I91" s="110"/>
    </row>
    <row r="92" spans="1:9" s="48" customFormat="1" ht="16.5" thickBot="1">
      <c r="A92" s="278" t="s">
        <v>65</v>
      </c>
      <c r="B92" s="293" t="s">
        <v>188</v>
      </c>
      <c r="C92" s="151" t="s">
        <v>126</v>
      </c>
      <c r="D92" s="152"/>
      <c r="E92" s="151"/>
      <c r="F92" s="163"/>
      <c r="G92" s="153">
        <f>G93+G98+G106</f>
        <v>29139.7</v>
      </c>
      <c r="H92" s="310">
        <f>H93+H98+H106</f>
        <v>2564</v>
      </c>
      <c r="I92" s="81"/>
    </row>
    <row r="93" spans="1:9" s="3" customFormat="1" ht="15.75" customHeight="1">
      <c r="A93" s="277" t="s">
        <v>98</v>
      </c>
      <c r="B93" s="292" t="s">
        <v>188</v>
      </c>
      <c r="C93" s="144" t="s">
        <v>195</v>
      </c>
      <c r="D93" s="145"/>
      <c r="E93" s="144"/>
      <c r="F93" s="145"/>
      <c r="G93" s="146">
        <f>G94</f>
        <v>19496</v>
      </c>
      <c r="H93" s="308">
        <f>H94</f>
        <v>0</v>
      </c>
      <c r="I93" s="111"/>
    </row>
    <row r="94" spans="1:9" s="2" customFormat="1" ht="15.75" customHeight="1">
      <c r="A94" s="281" t="s">
        <v>175</v>
      </c>
      <c r="B94" s="260" t="s">
        <v>188</v>
      </c>
      <c r="C94" s="141" t="s">
        <v>195</v>
      </c>
      <c r="D94" s="142" t="s">
        <v>176</v>
      </c>
      <c r="E94" s="141"/>
      <c r="F94" s="142"/>
      <c r="G94" s="143">
        <f aca="true" t="shared" si="4" ref="G94:H96">G95</f>
        <v>19496</v>
      </c>
      <c r="H94" s="307">
        <f t="shared" si="4"/>
        <v>0</v>
      </c>
      <c r="I94" s="81"/>
    </row>
    <row r="95" spans="1:9" s="2" customFormat="1" ht="15.75" customHeight="1">
      <c r="A95" s="281" t="s">
        <v>177</v>
      </c>
      <c r="B95" s="260" t="s">
        <v>188</v>
      </c>
      <c r="C95" s="141" t="s">
        <v>195</v>
      </c>
      <c r="D95" s="142" t="s">
        <v>178</v>
      </c>
      <c r="E95" s="141"/>
      <c r="F95" s="142"/>
      <c r="G95" s="143">
        <f t="shared" si="4"/>
        <v>19496</v>
      </c>
      <c r="H95" s="307">
        <f t="shared" si="4"/>
        <v>0</v>
      </c>
      <c r="I95" s="81"/>
    </row>
    <row r="96" spans="1:9" s="2" customFormat="1" ht="40.5" customHeight="1">
      <c r="A96" s="282" t="s">
        <v>179</v>
      </c>
      <c r="B96" s="260" t="s">
        <v>188</v>
      </c>
      <c r="C96" s="141" t="s">
        <v>195</v>
      </c>
      <c r="D96" s="142" t="s">
        <v>180</v>
      </c>
      <c r="E96" s="141"/>
      <c r="F96" s="142"/>
      <c r="G96" s="143">
        <f t="shared" si="4"/>
        <v>19496</v>
      </c>
      <c r="H96" s="307">
        <f t="shared" si="4"/>
        <v>0</v>
      </c>
      <c r="I96" s="81"/>
    </row>
    <row r="97" spans="1:9" s="2" customFormat="1" ht="15.75" customHeight="1">
      <c r="A97" s="284" t="s">
        <v>181</v>
      </c>
      <c r="B97" s="260" t="s">
        <v>188</v>
      </c>
      <c r="C97" s="141" t="s">
        <v>195</v>
      </c>
      <c r="D97" s="142" t="s">
        <v>180</v>
      </c>
      <c r="E97" s="141" t="s">
        <v>87</v>
      </c>
      <c r="F97" s="142"/>
      <c r="G97" s="143">
        <f>'Прилож №5'!H61</f>
        <v>19496</v>
      </c>
      <c r="H97" s="307">
        <f>'Прилож №5'!I61</f>
        <v>0</v>
      </c>
      <c r="I97" s="81"/>
    </row>
    <row r="98" spans="1:9" s="3" customFormat="1" ht="15.75" customHeight="1">
      <c r="A98" s="147" t="s">
        <v>99</v>
      </c>
      <c r="B98" s="292" t="s">
        <v>188</v>
      </c>
      <c r="C98" s="144" t="s">
        <v>192</v>
      </c>
      <c r="D98" s="145"/>
      <c r="E98" s="144"/>
      <c r="F98" s="145"/>
      <c r="G98" s="146">
        <f>G99</f>
        <v>6060.900000000001</v>
      </c>
      <c r="H98" s="308">
        <f>H99</f>
        <v>2564</v>
      </c>
      <c r="I98" s="81"/>
    </row>
    <row r="99" spans="1:9" s="2" customFormat="1" ht="15.75" customHeight="1">
      <c r="A99" s="284" t="s">
        <v>99</v>
      </c>
      <c r="B99" s="260" t="s">
        <v>188</v>
      </c>
      <c r="C99" s="141" t="s">
        <v>192</v>
      </c>
      <c r="D99" s="142" t="s">
        <v>196</v>
      </c>
      <c r="E99" s="141"/>
      <c r="F99" s="142"/>
      <c r="G99" s="143">
        <f>G103+G100</f>
        <v>6060.900000000001</v>
      </c>
      <c r="H99" s="307">
        <f>H103+H100</f>
        <v>2564</v>
      </c>
      <c r="I99" s="81"/>
    </row>
    <row r="100" spans="1:9" s="2" customFormat="1" ht="15.75" customHeight="1">
      <c r="A100" s="27" t="s">
        <v>414</v>
      </c>
      <c r="B100" s="260" t="s">
        <v>188</v>
      </c>
      <c r="C100" s="141" t="s">
        <v>192</v>
      </c>
      <c r="D100" s="142" t="s">
        <v>415</v>
      </c>
      <c r="E100" s="141"/>
      <c r="F100" s="142"/>
      <c r="G100" s="143">
        <f>G101</f>
        <v>2564</v>
      </c>
      <c r="H100" s="307">
        <f>H101</f>
        <v>2564</v>
      </c>
      <c r="I100" s="81"/>
    </row>
    <row r="101" spans="1:9" s="2" customFormat="1" ht="15.75" customHeight="1">
      <c r="A101" s="27" t="s">
        <v>416</v>
      </c>
      <c r="B101" s="260" t="s">
        <v>188</v>
      </c>
      <c r="C101" s="141" t="s">
        <v>192</v>
      </c>
      <c r="D101" s="142" t="s">
        <v>417</v>
      </c>
      <c r="E101" s="141"/>
      <c r="F101" s="142"/>
      <c r="G101" s="143">
        <f>G102</f>
        <v>2564</v>
      </c>
      <c r="H101" s="307">
        <f>H102</f>
        <v>2564</v>
      </c>
      <c r="I101" s="81"/>
    </row>
    <row r="102" spans="1:9" s="2" customFormat="1" ht="15.75" customHeight="1">
      <c r="A102" s="27" t="s">
        <v>418</v>
      </c>
      <c r="B102" s="260" t="s">
        <v>188</v>
      </c>
      <c r="C102" s="141" t="s">
        <v>192</v>
      </c>
      <c r="D102" s="142" t="s">
        <v>417</v>
      </c>
      <c r="E102" s="141" t="s">
        <v>419</v>
      </c>
      <c r="F102" s="142"/>
      <c r="G102" s="143">
        <f>'Прилож №5'!H66</f>
        <v>2564</v>
      </c>
      <c r="H102" s="307">
        <f>'Прилож №5'!I66</f>
        <v>2564</v>
      </c>
      <c r="I102" s="81"/>
    </row>
    <row r="103" spans="1:9" s="2" customFormat="1" ht="15.75" customHeight="1">
      <c r="A103" s="284" t="s">
        <v>197</v>
      </c>
      <c r="B103" s="260" t="s">
        <v>188</v>
      </c>
      <c r="C103" s="141" t="s">
        <v>192</v>
      </c>
      <c r="D103" s="142" t="s">
        <v>198</v>
      </c>
      <c r="E103" s="141"/>
      <c r="F103" s="142"/>
      <c r="G103" s="143">
        <f>G104</f>
        <v>3496.9000000000005</v>
      </c>
      <c r="H103" s="307">
        <f>H105</f>
        <v>0</v>
      </c>
      <c r="I103" s="81"/>
    </row>
    <row r="104" spans="1:9" s="2" customFormat="1" ht="15.75" customHeight="1">
      <c r="A104" s="284" t="s">
        <v>309</v>
      </c>
      <c r="B104" s="260" t="s">
        <v>188</v>
      </c>
      <c r="C104" s="141" t="s">
        <v>192</v>
      </c>
      <c r="D104" s="142" t="s">
        <v>312</v>
      </c>
      <c r="E104" s="141"/>
      <c r="F104" s="142"/>
      <c r="G104" s="143">
        <f>G105</f>
        <v>3496.9000000000005</v>
      </c>
      <c r="H104" s="307"/>
      <c r="I104" s="81"/>
    </row>
    <row r="105" spans="1:9" s="2" customFormat="1" ht="15.75" customHeight="1">
      <c r="A105" s="284" t="s">
        <v>311</v>
      </c>
      <c r="B105" s="260" t="s">
        <v>188</v>
      </c>
      <c r="C105" s="141" t="s">
        <v>192</v>
      </c>
      <c r="D105" s="142" t="s">
        <v>310</v>
      </c>
      <c r="E105" s="141" t="s">
        <v>127</v>
      </c>
      <c r="F105" s="142"/>
      <c r="G105" s="143">
        <f>'Прилож №5'!H69</f>
        <v>3496.9000000000005</v>
      </c>
      <c r="H105" s="307">
        <f>'Прилож №5'!I69</f>
        <v>0</v>
      </c>
      <c r="I105" s="81"/>
    </row>
    <row r="106" spans="1:9" s="23" customFormat="1" ht="15.75">
      <c r="A106" s="147" t="s">
        <v>66</v>
      </c>
      <c r="B106" s="292" t="s">
        <v>188</v>
      </c>
      <c r="C106" s="144" t="s">
        <v>189</v>
      </c>
      <c r="D106" s="145"/>
      <c r="E106" s="144"/>
      <c r="F106" s="145"/>
      <c r="G106" s="146">
        <f>G109+G112+G107</f>
        <v>3582.8</v>
      </c>
      <c r="H106" s="308">
        <f>H109+H112</f>
        <v>0</v>
      </c>
      <c r="I106" s="81"/>
    </row>
    <row r="107" spans="1:9" s="23" customFormat="1" ht="15.75">
      <c r="A107" s="35" t="s">
        <v>407</v>
      </c>
      <c r="B107" s="260" t="s">
        <v>188</v>
      </c>
      <c r="C107" s="141" t="s">
        <v>189</v>
      </c>
      <c r="D107" s="142" t="s">
        <v>408</v>
      </c>
      <c r="E107" s="141"/>
      <c r="F107" s="142"/>
      <c r="G107" s="143">
        <f>G108</f>
        <v>2198.5</v>
      </c>
      <c r="H107" s="307"/>
      <c r="I107" s="81"/>
    </row>
    <row r="108" spans="1:9" s="23" customFormat="1" ht="15.75">
      <c r="A108" s="27" t="s">
        <v>146</v>
      </c>
      <c r="B108" s="260" t="s">
        <v>188</v>
      </c>
      <c r="C108" s="141" t="s">
        <v>189</v>
      </c>
      <c r="D108" s="142" t="s">
        <v>408</v>
      </c>
      <c r="E108" s="141" t="s">
        <v>274</v>
      </c>
      <c r="F108" s="142"/>
      <c r="G108" s="143">
        <f>'Прилож №5'!H72</f>
        <v>2198.5</v>
      </c>
      <c r="H108" s="307"/>
      <c r="I108" s="81"/>
    </row>
    <row r="109" spans="1:9" s="48" customFormat="1" ht="30">
      <c r="A109" s="282" t="s">
        <v>109</v>
      </c>
      <c r="B109" s="260" t="s">
        <v>188</v>
      </c>
      <c r="C109" s="141" t="s">
        <v>189</v>
      </c>
      <c r="D109" s="142" t="s">
        <v>76</v>
      </c>
      <c r="E109" s="141"/>
      <c r="F109" s="142"/>
      <c r="G109" s="143">
        <f>G110</f>
        <v>1021.9999999999999</v>
      </c>
      <c r="H109" s="307">
        <f>H111</f>
        <v>0</v>
      </c>
      <c r="I109" s="81"/>
    </row>
    <row r="110" spans="1:9" s="48" customFormat="1" ht="15.75">
      <c r="A110" s="282" t="s">
        <v>335</v>
      </c>
      <c r="B110" s="260" t="s">
        <v>188</v>
      </c>
      <c r="C110" s="141" t="s">
        <v>189</v>
      </c>
      <c r="D110" s="142" t="s">
        <v>336</v>
      </c>
      <c r="E110" s="148"/>
      <c r="F110" s="149"/>
      <c r="G110" s="150">
        <f>G111</f>
        <v>1021.9999999999999</v>
      </c>
      <c r="H110" s="312"/>
      <c r="I110" s="81"/>
    </row>
    <row r="111" spans="1:9" s="48" customFormat="1" ht="15.75">
      <c r="A111" s="285" t="s">
        <v>146</v>
      </c>
      <c r="B111" s="295" t="s">
        <v>188</v>
      </c>
      <c r="C111" s="148" t="s">
        <v>189</v>
      </c>
      <c r="D111" s="149" t="s">
        <v>336</v>
      </c>
      <c r="E111" s="148" t="s">
        <v>274</v>
      </c>
      <c r="F111" s="149"/>
      <c r="G111" s="150">
        <f>'Прилож №5'!H75</f>
        <v>1021.9999999999999</v>
      </c>
      <c r="H111" s="312">
        <f>'Прилож №5'!I75</f>
        <v>0</v>
      </c>
      <c r="I111" s="81"/>
    </row>
    <row r="112" spans="1:9" s="48" customFormat="1" ht="15.75">
      <c r="A112" s="281" t="s">
        <v>131</v>
      </c>
      <c r="B112" s="260" t="s">
        <v>188</v>
      </c>
      <c r="C112" s="141" t="s">
        <v>189</v>
      </c>
      <c r="D112" s="142" t="s">
        <v>132</v>
      </c>
      <c r="E112" s="141"/>
      <c r="F112" s="142"/>
      <c r="G112" s="143">
        <f>G113</f>
        <v>362.3</v>
      </c>
      <c r="H112" s="307"/>
      <c r="I112" s="81"/>
    </row>
    <row r="113" spans="1:9" s="48" customFormat="1" ht="39">
      <c r="A113" s="65" t="s">
        <v>360</v>
      </c>
      <c r="B113" s="260" t="s">
        <v>188</v>
      </c>
      <c r="C113" s="141" t="s">
        <v>189</v>
      </c>
      <c r="D113" s="142" t="s">
        <v>290</v>
      </c>
      <c r="E113" s="141"/>
      <c r="F113" s="142"/>
      <c r="G113" s="143">
        <f>G114</f>
        <v>362.3</v>
      </c>
      <c r="H113" s="307"/>
      <c r="I113" s="81"/>
    </row>
    <row r="114" spans="1:9" s="48" customFormat="1" ht="16.5" thickBot="1">
      <c r="A114" s="283" t="s">
        <v>146</v>
      </c>
      <c r="B114" s="295" t="s">
        <v>188</v>
      </c>
      <c r="C114" s="148" t="s">
        <v>189</v>
      </c>
      <c r="D114" s="149" t="s">
        <v>290</v>
      </c>
      <c r="E114" s="148" t="s">
        <v>274</v>
      </c>
      <c r="F114" s="149"/>
      <c r="G114" s="150">
        <f>'Прилож №5'!H78</f>
        <v>362.3</v>
      </c>
      <c r="H114" s="312"/>
      <c r="I114" s="81"/>
    </row>
    <row r="115" spans="1:9" s="48" customFormat="1" ht="16.5" thickBot="1">
      <c r="A115" s="278" t="s">
        <v>23</v>
      </c>
      <c r="B115" s="293" t="s">
        <v>200</v>
      </c>
      <c r="C115" s="151" t="s">
        <v>126</v>
      </c>
      <c r="D115" s="152"/>
      <c r="E115" s="151"/>
      <c r="F115" s="163"/>
      <c r="G115" s="153">
        <f>G116+G130+G152</f>
        <v>413188.5</v>
      </c>
      <c r="H115" s="310">
        <f>H116+H130+H152</f>
        <v>193393.3</v>
      </c>
      <c r="I115" s="81"/>
    </row>
    <row r="116" spans="1:9" s="48" customFormat="1" ht="15.75">
      <c r="A116" s="286" t="s">
        <v>70</v>
      </c>
      <c r="B116" s="297" t="s">
        <v>200</v>
      </c>
      <c r="C116" s="169" t="s">
        <v>186</v>
      </c>
      <c r="D116" s="193" t="s">
        <v>47</v>
      </c>
      <c r="E116" s="169" t="s">
        <v>49</v>
      </c>
      <c r="F116" s="193"/>
      <c r="G116" s="231">
        <f>G124+G117+G128</f>
        <v>222257</v>
      </c>
      <c r="H116" s="231">
        <f>H124+H117</f>
        <v>139220</v>
      </c>
      <c r="I116" s="81"/>
    </row>
    <row r="117" spans="1:9" s="48" customFormat="1" ht="45">
      <c r="A117" s="282" t="s">
        <v>364</v>
      </c>
      <c r="B117" s="260" t="s">
        <v>200</v>
      </c>
      <c r="C117" s="141" t="s">
        <v>186</v>
      </c>
      <c r="D117" s="142" t="s">
        <v>365</v>
      </c>
      <c r="E117" s="141"/>
      <c r="F117" s="142"/>
      <c r="G117" s="143">
        <f>G118+G121</f>
        <v>56329</v>
      </c>
      <c r="H117" s="307">
        <f>H118+H121</f>
        <v>24965</v>
      </c>
      <c r="I117" s="81"/>
    </row>
    <row r="118" spans="1:9" s="48" customFormat="1" ht="75">
      <c r="A118" s="282" t="s">
        <v>366</v>
      </c>
      <c r="B118" s="260" t="s">
        <v>200</v>
      </c>
      <c r="C118" s="141" t="s">
        <v>186</v>
      </c>
      <c r="D118" s="142" t="s">
        <v>367</v>
      </c>
      <c r="E118" s="141"/>
      <c r="F118" s="142"/>
      <c r="G118" s="143">
        <f>G119</f>
        <v>37382</v>
      </c>
      <c r="H118" s="307">
        <f>H119</f>
        <v>21700</v>
      </c>
      <c r="I118" s="81"/>
    </row>
    <row r="119" spans="1:9" s="48" customFormat="1" ht="30">
      <c r="A119" s="282" t="s">
        <v>368</v>
      </c>
      <c r="B119" s="260" t="s">
        <v>200</v>
      </c>
      <c r="C119" s="141" t="s">
        <v>186</v>
      </c>
      <c r="D119" s="142" t="s">
        <v>369</v>
      </c>
      <c r="E119" s="141"/>
      <c r="F119" s="142"/>
      <c r="G119" s="143">
        <f>G120</f>
        <v>37382</v>
      </c>
      <c r="H119" s="307">
        <f>H120</f>
        <v>21700</v>
      </c>
      <c r="I119" s="81"/>
    </row>
    <row r="120" spans="1:9" s="48" customFormat="1" ht="15.75">
      <c r="A120" s="281" t="s">
        <v>370</v>
      </c>
      <c r="B120" s="260" t="s">
        <v>200</v>
      </c>
      <c r="C120" s="141" t="s">
        <v>186</v>
      </c>
      <c r="D120" s="142" t="s">
        <v>369</v>
      </c>
      <c r="E120" s="141" t="s">
        <v>371</v>
      </c>
      <c r="F120" s="142"/>
      <c r="G120" s="143">
        <f>'Прилож №5'!H84</f>
        <v>37382</v>
      </c>
      <c r="H120" s="307">
        <f>'Прилож №5'!I84</f>
        <v>21700</v>
      </c>
      <c r="I120" s="81"/>
    </row>
    <row r="121" spans="1:9" s="48" customFormat="1" ht="45">
      <c r="A121" s="282" t="s">
        <v>372</v>
      </c>
      <c r="B121" s="260" t="s">
        <v>200</v>
      </c>
      <c r="C121" s="141" t="s">
        <v>186</v>
      </c>
      <c r="D121" s="142" t="s">
        <v>373</v>
      </c>
      <c r="E121" s="141"/>
      <c r="F121" s="142"/>
      <c r="G121" s="143">
        <f>G122</f>
        <v>18947</v>
      </c>
      <c r="H121" s="307">
        <f>H122</f>
        <v>3265</v>
      </c>
      <c r="I121" s="81"/>
    </row>
    <row r="122" spans="1:9" s="48" customFormat="1" ht="30">
      <c r="A122" s="282" t="s">
        <v>374</v>
      </c>
      <c r="B122" s="260" t="s">
        <v>200</v>
      </c>
      <c r="C122" s="141" t="s">
        <v>186</v>
      </c>
      <c r="D122" s="142" t="s">
        <v>375</v>
      </c>
      <c r="E122" s="141"/>
      <c r="F122" s="142"/>
      <c r="G122" s="143">
        <f>G123</f>
        <v>18947</v>
      </c>
      <c r="H122" s="307">
        <f>H123</f>
        <v>3265</v>
      </c>
      <c r="I122" s="81"/>
    </row>
    <row r="123" spans="1:9" s="48" customFormat="1" ht="15.75">
      <c r="A123" s="281" t="s">
        <v>370</v>
      </c>
      <c r="B123" s="260" t="s">
        <v>200</v>
      </c>
      <c r="C123" s="141" t="s">
        <v>186</v>
      </c>
      <c r="D123" s="142" t="s">
        <v>375</v>
      </c>
      <c r="E123" s="141" t="s">
        <v>371</v>
      </c>
      <c r="F123" s="142"/>
      <c r="G123" s="143">
        <f>'Прилож №5'!H87</f>
        <v>18947</v>
      </c>
      <c r="H123" s="307">
        <f>'Прилож №5'!I87</f>
        <v>3265</v>
      </c>
      <c r="I123" s="81"/>
    </row>
    <row r="124" spans="1:9" s="48" customFormat="1" ht="15.75">
      <c r="A124" s="281" t="s">
        <v>24</v>
      </c>
      <c r="B124" s="296" t="s">
        <v>200</v>
      </c>
      <c r="C124" s="159" t="s">
        <v>186</v>
      </c>
      <c r="D124" s="160" t="s">
        <v>25</v>
      </c>
      <c r="E124" s="159"/>
      <c r="F124" s="160"/>
      <c r="G124" s="161">
        <f>G125</f>
        <v>165628</v>
      </c>
      <c r="H124" s="313">
        <f>H125</f>
        <v>114255</v>
      </c>
      <c r="I124" s="81"/>
    </row>
    <row r="125" spans="1:9" s="48" customFormat="1" ht="15.75">
      <c r="A125" s="284" t="s">
        <v>201</v>
      </c>
      <c r="B125" s="296" t="s">
        <v>200</v>
      </c>
      <c r="C125" s="159" t="s">
        <v>186</v>
      </c>
      <c r="D125" s="160" t="s">
        <v>202</v>
      </c>
      <c r="E125" s="159"/>
      <c r="F125" s="160"/>
      <c r="G125" s="161">
        <f>G126+G127</f>
        <v>165628</v>
      </c>
      <c r="H125" s="313">
        <f>H126</f>
        <v>114255</v>
      </c>
      <c r="I125" s="81"/>
    </row>
    <row r="126" spans="1:9" s="48" customFormat="1" ht="15.75">
      <c r="A126" s="281" t="s">
        <v>181</v>
      </c>
      <c r="B126" s="260" t="s">
        <v>200</v>
      </c>
      <c r="C126" s="159" t="s">
        <v>186</v>
      </c>
      <c r="D126" s="160" t="s">
        <v>202</v>
      </c>
      <c r="E126" s="159" t="s">
        <v>87</v>
      </c>
      <c r="F126" s="160"/>
      <c r="G126" s="161">
        <f>'Прилож №5'!H90</f>
        <v>164040.2</v>
      </c>
      <c r="H126" s="313">
        <f>'Прилож №5'!I90</f>
        <v>114255</v>
      </c>
      <c r="I126" s="110"/>
    </row>
    <row r="127" spans="1:9" s="48" customFormat="1" ht="15.75">
      <c r="A127" s="284" t="s">
        <v>146</v>
      </c>
      <c r="B127" s="260" t="s">
        <v>200</v>
      </c>
      <c r="C127" s="159" t="s">
        <v>186</v>
      </c>
      <c r="D127" s="160" t="s">
        <v>202</v>
      </c>
      <c r="E127" s="159" t="s">
        <v>274</v>
      </c>
      <c r="F127" s="160"/>
      <c r="G127" s="161">
        <f>'Прилож №5'!H91+'Прилож №5'!H408</f>
        <v>1587.7999999999997</v>
      </c>
      <c r="H127" s="313"/>
      <c r="I127" s="110"/>
    </row>
    <row r="128" spans="1:9" s="48" customFormat="1" ht="15.75">
      <c r="A128" s="25" t="s">
        <v>131</v>
      </c>
      <c r="B128" s="18" t="s">
        <v>200</v>
      </c>
      <c r="C128" s="30" t="s">
        <v>186</v>
      </c>
      <c r="D128" s="18" t="s">
        <v>452</v>
      </c>
      <c r="E128" s="30"/>
      <c r="F128" s="80"/>
      <c r="G128" s="161">
        <f>'Прилож №5'!H93</f>
        <v>300</v>
      </c>
      <c r="H128" s="313"/>
      <c r="I128" s="110"/>
    </row>
    <row r="129" spans="1:9" s="48" customFormat="1" ht="39">
      <c r="A129" s="65" t="s">
        <v>451</v>
      </c>
      <c r="B129" s="18" t="s">
        <v>200</v>
      </c>
      <c r="C129" s="30" t="s">
        <v>186</v>
      </c>
      <c r="D129" s="18" t="s">
        <v>452</v>
      </c>
      <c r="E129" s="30" t="s">
        <v>274</v>
      </c>
      <c r="F129" s="80" t="s">
        <v>274</v>
      </c>
      <c r="G129" s="161">
        <f>'Прилож №5'!H94</f>
        <v>300</v>
      </c>
      <c r="H129" s="313"/>
      <c r="I129" s="110"/>
    </row>
    <row r="130" spans="1:9" s="48" customFormat="1" ht="15.75">
      <c r="A130" s="277" t="s">
        <v>3</v>
      </c>
      <c r="B130" s="260" t="s">
        <v>200</v>
      </c>
      <c r="C130" s="141" t="s">
        <v>187</v>
      </c>
      <c r="D130" s="160"/>
      <c r="E130" s="159"/>
      <c r="F130" s="145"/>
      <c r="G130" s="146">
        <f>G135+G131+G148+G140</f>
        <v>127306.59999999999</v>
      </c>
      <c r="H130" s="308">
        <f>H135+H131+H148+H140</f>
        <v>54173.299999999996</v>
      </c>
      <c r="I130" s="81"/>
    </row>
    <row r="131" spans="1:9" s="48" customFormat="1" ht="30">
      <c r="A131" s="275" t="s">
        <v>206</v>
      </c>
      <c r="B131" s="296" t="s">
        <v>200</v>
      </c>
      <c r="C131" s="141" t="s">
        <v>187</v>
      </c>
      <c r="D131" s="160" t="s">
        <v>71</v>
      </c>
      <c r="E131" s="159"/>
      <c r="F131" s="160"/>
      <c r="G131" s="161">
        <f aca="true" t="shared" si="5" ref="G131:H133">G132</f>
        <v>1409.5</v>
      </c>
      <c r="H131" s="313">
        <f t="shared" si="5"/>
        <v>0</v>
      </c>
      <c r="I131" s="81"/>
    </row>
    <row r="132" spans="1:9" s="48" customFormat="1" ht="60">
      <c r="A132" s="275" t="s">
        <v>207</v>
      </c>
      <c r="B132" s="296" t="s">
        <v>200</v>
      </c>
      <c r="C132" s="141" t="s">
        <v>187</v>
      </c>
      <c r="D132" s="160" t="s">
        <v>208</v>
      </c>
      <c r="E132" s="159"/>
      <c r="F132" s="160"/>
      <c r="G132" s="161">
        <f t="shared" si="5"/>
        <v>1409.5</v>
      </c>
      <c r="H132" s="313">
        <f t="shared" si="5"/>
        <v>0</v>
      </c>
      <c r="I132" s="81"/>
    </row>
    <row r="133" spans="1:9" s="48" customFormat="1" ht="30">
      <c r="A133" s="275" t="s">
        <v>242</v>
      </c>
      <c r="B133" s="296" t="s">
        <v>200</v>
      </c>
      <c r="C133" s="141" t="s">
        <v>187</v>
      </c>
      <c r="D133" s="160" t="s">
        <v>243</v>
      </c>
      <c r="E133" s="159"/>
      <c r="F133" s="160"/>
      <c r="G133" s="161">
        <f t="shared" si="5"/>
        <v>1409.5</v>
      </c>
      <c r="H133" s="313">
        <f t="shared" si="5"/>
        <v>0</v>
      </c>
      <c r="I133" s="81"/>
    </row>
    <row r="134" spans="1:9" s="48" customFormat="1" ht="15.75">
      <c r="A134" s="275" t="s">
        <v>209</v>
      </c>
      <c r="B134" s="296" t="s">
        <v>200</v>
      </c>
      <c r="C134" s="141" t="s">
        <v>187</v>
      </c>
      <c r="D134" s="160" t="s">
        <v>243</v>
      </c>
      <c r="E134" s="159" t="s">
        <v>67</v>
      </c>
      <c r="F134" s="139"/>
      <c r="G134" s="161">
        <f>'Прилож №5'!H99</f>
        <v>1409.5</v>
      </c>
      <c r="H134" s="308"/>
      <c r="I134" s="81"/>
    </row>
    <row r="135" spans="1:9" s="48" customFormat="1" ht="15.75">
      <c r="A135" s="281" t="s">
        <v>54</v>
      </c>
      <c r="B135" s="296" t="s">
        <v>200</v>
      </c>
      <c r="C135" s="141" t="s">
        <v>187</v>
      </c>
      <c r="D135" s="142" t="s">
        <v>75</v>
      </c>
      <c r="E135" s="192"/>
      <c r="F135" s="189" t="e">
        <f>#REF!</f>
        <v>#REF!</v>
      </c>
      <c r="G135" s="161">
        <f>G136</f>
        <v>24348.6</v>
      </c>
      <c r="H135" s="313">
        <f>H136</f>
        <v>0</v>
      </c>
      <c r="I135" s="81"/>
    </row>
    <row r="136" spans="1:9" s="48" customFormat="1" ht="15.75">
      <c r="A136" s="270" t="s">
        <v>285</v>
      </c>
      <c r="B136" s="260" t="s">
        <v>200</v>
      </c>
      <c r="C136" s="141" t="s">
        <v>187</v>
      </c>
      <c r="D136" s="142" t="s">
        <v>286</v>
      </c>
      <c r="E136" s="141"/>
      <c r="F136" s="142"/>
      <c r="G136" s="143">
        <f>G137+G138+G139</f>
        <v>24348.6</v>
      </c>
      <c r="H136" s="307"/>
      <c r="I136" s="81"/>
    </row>
    <row r="137" spans="1:9" s="48" customFormat="1" ht="15.75">
      <c r="A137" s="283" t="s">
        <v>146</v>
      </c>
      <c r="B137" s="260" t="s">
        <v>200</v>
      </c>
      <c r="C137" s="141" t="s">
        <v>187</v>
      </c>
      <c r="D137" s="142" t="s">
        <v>286</v>
      </c>
      <c r="E137" s="141" t="s">
        <v>274</v>
      </c>
      <c r="F137" s="142"/>
      <c r="G137" s="143">
        <f>'Прилож №5'!H413+'Прилож №5'!H101</f>
        <v>1554</v>
      </c>
      <c r="H137" s="307">
        <v>0</v>
      </c>
      <c r="I137" s="81"/>
    </row>
    <row r="138" spans="1:9" s="48" customFormat="1" ht="15.75">
      <c r="A138" s="281" t="s">
        <v>181</v>
      </c>
      <c r="B138" s="260" t="s">
        <v>200</v>
      </c>
      <c r="C138" s="141" t="s">
        <v>187</v>
      </c>
      <c r="D138" s="142" t="s">
        <v>352</v>
      </c>
      <c r="E138" s="141" t="s">
        <v>87</v>
      </c>
      <c r="F138" s="142"/>
      <c r="G138" s="143">
        <f>'Прилож №5'!H103</f>
        <v>20294.6</v>
      </c>
      <c r="H138" s="307">
        <v>0</v>
      </c>
      <c r="I138" s="81"/>
    </row>
    <row r="139" spans="1:9" s="48" customFormat="1" ht="15.75">
      <c r="A139" s="283" t="s">
        <v>146</v>
      </c>
      <c r="B139" s="260" t="s">
        <v>200</v>
      </c>
      <c r="C139" s="141" t="s">
        <v>187</v>
      </c>
      <c r="D139" s="142" t="s">
        <v>352</v>
      </c>
      <c r="E139" s="141" t="s">
        <v>274</v>
      </c>
      <c r="F139" s="142"/>
      <c r="G139" s="143">
        <f>'Прилож №5'!H104</f>
        <v>2500</v>
      </c>
      <c r="H139" s="307">
        <v>0</v>
      </c>
      <c r="I139" s="81"/>
    </row>
    <row r="140" spans="1:9" s="48" customFormat="1" ht="30">
      <c r="A140" s="270" t="s">
        <v>376</v>
      </c>
      <c r="B140" s="260" t="s">
        <v>200</v>
      </c>
      <c r="C140" s="141" t="s">
        <v>187</v>
      </c>
      <c r="D140" s="142" t="s">
        <v>377</v>
      </c>
      <c r="E140" s="141"/>
      <c r="F140" s="142"/>
      <c r="G140" s="143">
        <f>G141+G142</f>
        <v>77984.79999999999</v>
      </c>
      <c r="H140" s="307">
        <f>H141</f>
        <v>54173.299999999996</v>
      </c>
      <c r="I140" s="81"/>
    </row>
    <row r="141" spans="1:9" s="48" customFormat="1" ht="15.75">
      <c r="A141" s="282" t="s">
        <v>378</v>
      </c>
      <c r="B141" s="260" t="s">
        <v>200</v>
      </c>
      <c r="C141" s="141" t="s">
        <v>187</v>
      </c>
      <c r="D141" s="142" t="s">
        <v>437</v>
      </c>
      <c r="E141" s="141"/>
      <c r="F141" s="142"/>
      <c r="G141" s="143">
        <f>G145</f>
        <v>54173.299999999996</v>
      </c>
      <c r="H141" s="307">
        <f>H145</f>
        <v>54173.299999999996</v>
      </c>
      <c r="I141" s="81"/>
    </row>
    <row r="142" spans="1:9" s="48" customFormat="1" ht="15.75">
      <c r="A142" s="35" t="s">
        <v>445</v>
      </c>
      <c r="B142" s="18" t="s">
        <v>200</v>
      </c>
      <c r="C142" s="30" t="s">
        <v>187</v>
      </c>
      <c r="D142" s="18" t="s">
        <v>437</v>
      </c>
      <c r="E142" s="30" t="s">
        <v>67</v>
      </c>
      <c r="F142" s="80" t="s">
        <v>67</v>
      </c>
      <c r="G142" s="143">
        <f>G143+G144</f>
        <v>23811.5</v>
      </c>
      <c r="H142" s="307"/>
      <c r="I142" s="81"/>
    </row>
    <row r="143" spans="1:9" s="48" customFormat="1" ht="64.5">
      <c r="A143" s="46" t="s">
        <v>434</v>
      </c>
      <c r="B143" s="18" t="s">
        <v>200</v>
      </c>
      <c r="C143" s="30" t="s">
        <v>187</v>
      </c>
      <c r="D143" s="18" t="s">
        <v>437</v>
      </c>
      <c r="E143" s="30" t="s">
        <v>67</v>
      </c>
      <c r="F143" s="80" t="s">
        <v>67</v>
      </c>
      <c r="G143" s="143">
        <f>'Прилож №5'!H108</f>
        <v>2100</v>
      </c>
      <c r="H143" s="307"/>
      <c r="I143" s="81"/>
    </row>
    <row r="144" spans="1:9" s="48" customFormat="1" ht="64.5">
      <c r="A144" s="46" t="s">
        <v>436</v>
      </c>
      <c r="B144" s="18" t="s">
        <v>200</v>
      </c>
      <c r="C144" s="30" t="s">
        <v>187</v>
      </c>
      <c r="D144" s="18" t="s">
        <v>444</v>
      </c>
      <c r="E144" s="30" t="s">
        <v>67</v>
      </c>
      <c r="F144" s="80" t="s">
        <v>67</v>
      </c>
      <c r="G144" s="143">
        <f>'Прилож №5'!H109</f>
        <v>21711.5</v>
      </c>
      <c r="H144" s="307"/>
      <c r="I144" s="81"/>
    </row>
    <row r="145" spans="1:9" s="48" customFormat="1" ht="39">
      <c r="A145" s="46" t="s">
        <v>446</v>
      </c>
      <c r="B145" s="18" t="s">
        <v>200</v>
      </c>
      <c r="C145" s="30" t="s">
        <v>187</v>
      </c>
      <c r="D145" s="18" t="s">
        <v>437</v>
      </c>
      <c r="E145" s="30" t="s">
        <v>67</v>
      </c>
      <c r="F145" s="80" t="s">
        <v>435</v>
      </c>
      <c r="G145" s="38">
        <f>G146+G147</f>
        <v>54173.299999999996</v>
      </c>
      <c r="H145" s="306">
        <f>H146+H147</f>
        <v>54173.299999999996</v>
      </c>
      <c r="I145" s="81"/>
    </row>
    <row r="146" spans="1:9" s="48" customFormat="1" ht="64.5">
      <c r="A146" s="46" t="s">
        <v>436</v>
      </c>
      <c r="B146" s="18" t="s">
        <v>200</v>
      </c>
      <c r="C146" s="30" t="s">
        <v>187</v>
      </c>
      <c r="D146" s="18" t="s">
        <v>437</v>
      </c>
      <c r="E146" s="30" t="s">
        <v>67</v>
      </c>
      <c r="F146" s="80" t="s">
        <v>435</v>
      </c>
      <c r="G146" s="38">
        <f>'Прилож №5'!H111</f>
        <v>10382.1</v>
      </c>
      <c r="H146" s="306">
        <f>'Прилож №5'!I111</f>
        <v>10382.1</v>
      </c>
      <c r="I146" s="81"/>
    </row>
    <row r="147" spans="1:9" s="48" customFormat="1" ht="64.5">
      <c r="A147" s="46" t="s">
        <v>434</v>
      </c>
      <c r="B147" s="18" t="s">
        <v>200</v>
      </c>
      <c r="C147" s="30" t="s">
        <v>187</v>
      </c>
      <c r="D147" s="18" t="s">
        <v>437</v>
      </c>
      <c r="E147" s="30" t="s">
        <v>67</v>
      </c>
      <c r="F147" s="80" t="s">
        <v>435</v>
      </c>
      <c r="G147" s="38">
        <f>'Прилож №5'!H112</f>
        <v>43791.2</v>
      </c>
      <c r="H147" s="306">
        <f>'Прилож №5'!I112</f>
        <v>43791.2</v>
      </c>
      <c r="I147" s="81"/>
    </row>
    <row r="148" spans="1:9" s="48" customFormat="1" ht="15.75">
      <c r="A148" s="26" t="s">
        <v>131</v>
      </c>
      <c r="B148" s="260" t="s">
        <v>200</v>
      </c>
      <c r="C148" s="141" t="s">
        <v>187</v>
      </c>
      <c r="D148" s="142" t="s">
        <v>132</v>
      </c>
      <c r="E148" s="141"/>
      <c r="F148" s="142"/>
      <c r="G148" s="143">
        <f>G149</f>
        <v>23563.7</v>
      </c>
      <c r="H148" s="307"/>
      <c r="I148" s="81"/>
    </row>
    <row r="149" spans="1:9" s="48" customFormat="1" ht="26.25">
      <c r="A149" s="47" t="s">
        <v>358</v>
      </c>
      <c r="B149" s="260" t="s">
        <v>200</v>
      </c>
      <c r="C149" s="141" t="s">
        <v>187</v>
      </c>
      <c r="D149" s="142" t="s">
        <v>262</v>
      </c>
      <c r="E149" s="141"/>
      <c r="F149" s="142"/>
      <c r="G149" s="143">
        <f>G150+G151</f>
        <v>23563.7</v>
      </c>
      <c r="H149" s="307"/>
      <c r="I149" s="81"/>
    </row>
    <row r="150" spans="1:9" s="48" customFormat="1" ht="15.75">
      <c r="A150" s="275" t="s">
        <v>209</v>
      </c>
      <c r="B150" s="260" t="s">
        <v>200</v>
      </c>
      <c r="C150" s="141" t="s">
        <v>187</v>
      </c>
      <c r="D150" s="142" t="s">
        <v>262</v>
      </c>
      <c r="E150" s="141" t="s">
        <v>67</v>
      </c>
      <c r="F150" s="142"/>
      <c r="G150" s="143">
        <f>'Прилож №5'!H115</f>
        <v>21605</v>
      </c>
      <c r="H150" s="307"/>
      <c r="I150" s="81"/>
    </row>
    <row r="151" spans="1:9" s="48" customFormat="1" ht="15.75">
      <c r="A151" s="283" t="s">
        <v>146</v>
      </c>
      <c r="B151" s="260" t="s">
        <v>200</v>
      </c>
      <c r="C151" s="141" t="s">
        <v>187</v>
      </c>
      <c r="D151" s="142" t="s">
        <v>262</v>
      </c>
      <c r="E151" s="141" t="s">
        <v>274</v>
      </c>
      <c r="F151" s="142"/>
      <c r="G151" s="143">
        <f>'Прилож №5'!H116</f>
        <v>1958.7</v>
      </c>
      <c r="H151" s="307"/>
      <c r="I151" s="81"/>
    </row>
    <row r="152" spans="1:9" s="23" customFormat="1" ht="15.75">
      <c r="A152" s="287" t="s">
        <v>134</v>
      </c>
      <c r="B152" s="292" t="s">
        <v>200</v>
      </c>
      <c r="C152" s="144" t="s">
        <v>191</v>
      </c>
      <c r="D152" s="145"/>
      <c r="E152" s="144"/>
      <c r="F152" s="145"/>
      <c r="G152" s="146">
        <f>G153+G164</f>
        <v>63624.9</v>
      </c>
      <c r="H152" s="308">
        <f>H153</f>
        <v>0</v>
      </c>
      <c r="I152" s="81"/>
    </row>
    <row r="153" spans="1:9" s="48" customFormat="1" ht="15.75">
      <c r="A153" s="25" t="s">
        <v>134</v>
      </c>
      <c r="B153" s="260" t="s">
        <v>200</v>
      </c>
      <c r="C153" s="141" t="s">
        <v>191</v>
      </c>
      <c r="D153" s="31" t="s">
        <v>287</v>
      </c>
      <c r="E153" s="141"/>
      <c r="F153" s="142"/>
      <c r="G153" s="143">
        <f>G154+G156+G158+G160+G162</f>
        <v>59714</v>
      </c>
      <c r="H153" s="307">
        <f>H154+H156+H158+H160+H162</f>
        <v>0</v>
      </c>
      <c r="I153" s="81"/>
    </row>
    <row r="154" spans="1:9" s="48" customFormat="1" ht="15.75">
      <c r="A154" s="25" t="s">
        <v>313</v>
      </c>
      <c r="B154" s="260" t="s">
        <v>200</v>
      </c>
      <c r="C154" s="141" t="s">
        <v>191</v>
      </c>
      <c r="D154" s="31" t="s">
        <v>314</v>
      </c>
      <c r="E154" s="141"/>
      <c r="F154" s="142"/>
      <c r="G154" s="143">
        <f>G155</f>
        <v>15191.800000000001</v>
      </c>
      <c r="H154" s="307">
        <f>H155</f>
        <v>0</v>
      </c>
      <c r="I154" s="81"/>
    </row>
    <row r="155" spans="1:9" s="48" customFormat="1" ht="15.75">
      <c r="A155" s="27" t="s">
        <v>146</v>
      </c>
      <c r="B155" s="260" t="s">
        <v>200</v>
      </c>
      <c r="C155" s="141" t="s">
        <v>191</v>
      </c>
      <c r="D155" s="31" t="s">
        <v>314</v>
      </c>
      <c r="E155" s="141" t="s">
        <v>274</v>
      </c>
      <c r="F155" s="142"/>
      <c r="G155" s="143">
        <f>'Прилож №5'!H120</f>
        <v>15191.800000000001</v>
      </c>
      <c r="H155" s="307">
        <f aca="true" t="shared" si="6" ref="H155:H162">H156</f>
        <v>0</v>
      </c>
      <c r="I155" s="81"/>
    </row>
    <row r="156" spans="1:9" s="48" customFormat="1" ht="39">
      <c r="A156" s="46" t="s">
        <v>288</v>
      </c>
      <c r="B156" s="260" t="s">
        <v>200</v>
      </c>
      <c r="C156" s="141" t="s">
        <v>191</v>
      </c>
      <c r="D156" s="31" t="s">
        <v>289</v>
      </c>
      <c r="E156" s="141"/>
      <c r="F156" s="142"/>
      <c r="G156" s="143">
        <f>G157</f>
        <v>7908.2</v>
      </c>
      <c r="H156" s="307">
        <f t="shared" si="6"/>
        <v>0</v>
      </c>
      <c r="I156" s="81"/>
    </row>
    <row r="157" spans="1:9" s="48" customFormat="1" ht="15.75">
      <c r="A157" s="27" t="s">
        <v>146</v>
      </c>
      <c r="B157" s="260" t="s">
        <v>200</v>
      </c>
      <c r="C157" s="141" t="s">
        <v>191</v>
      </c>
      <c r="D157" s="31" t="s">
        <v>289</v>
      </c>
      <c r="E157" s="141" t="s">
        <v>274</v>
      </c>
      <c r="F157" s="142"/>
      <c r="G157" s="143">
        <f>'Прилож №5'!H122</f>
        <v>7908.2</v>
      </c>
      <c r="H157" s="307">
        <f t="shared" si="6"/>
        <v>0</v>
      </c>
      <c r="I157" s="81"/>
    </row>
    <row r="158" spans="1:9" s="48" customFormat="1" ht="15.75">
      <c r="A158" s="25" t="s">
        <v>137</v>
      </c>
      <c r="B158" s="260" t="s">
        <v>200</v>
      </c>
      <c r="C158" s="141" t="s">
        <v>191</v>
      </c>
      <c r="D158" s="31" t="s">
        <v>315</v>
      </c>
      <c r="E158" s="141"/>
      <c r="F158" s="142"/>
      <c r="G158" s="143">
        <f>G159</f>
        <v>7335.1</v>
      </c>
      <c r="H158" s="307">
        <f t="shared" si="6"/>
        <v>0</v>
      </c>
      <c r="I158" s="81"/>
    </row>
    <row r="159" spans="1:9" s="48" customFormat="1" ht="15.75">
      <c r="A159" s="27" t="s">
        <v>146</v>
      </c>
      <c r="B159" s="260" t="s">
        <v>200</v>
      </c>
      <c r="C159" s="141" t="s">
        <v>191</v>
      </c>
      <c r="D159" s="31" t="s">
        <v>315</v>
      </c>
      <c r="E159" s="141" t="s">
        <v>274</v>
      </c>
      <c r="F159" s="142"/>
      <c r="G159" s="143">
        <f>'Прилож №5'!H124+'Прилож №5'!H352</f>
        <v>7335.1</v>
      </c>
      <c r="H159" s="307">
        <f t="shared" si="6"/>
        <v>0</v>
      </c>
      <c r="I159" s="81"/>
    </row>
    <row r="160" spans="1:9" s="48" customFormat="1" ht="15.75">
      <c r="A160" s="25" t="s">
        <v>145</v>
      </c>
      <c r="B160" s="260" t="s">
        <v>200</v>
      </c>
      <c r="C160" s="141" t="s">
        <v>191</v>
      </c>
      <c r="D160" s="31" t="s">
        <v>316</v>
      </c>
      <c r="E160" s="141"/>
      <c r="F160" s="142"/>
      <c r="G160" s="143">
        <f>G161</f>
        <v>3638</v>
      </c>
      <c r="H160" s="307">
        <f t="shared" si="6"/>
        <v>0</v>
      </c>
      <c r="I160" s="81"/>
    </row>
    <row r="161" spans="1:9" s="48" customFormat="1" ht="15.75">
      <c r="A161" s="27" t="s">
        <v>146</v>
      </c>
      <c r="B161" s="260" t="s">
        <v>200</v>
      </c>
      <c r="C161" s="141" t="s">
        <v>191</v>
      </c>
      <c r="D161" s="31" t="s">
        <v>316</v>
      </c>
      <c r="E161" s="141" t="s">
        <v>274</v>
      </c>
      <c r="F161" s="142" t="s">
        <v>135</v>
      </c>
      <c r="G161" s="143">
        <f>'Прилож №5'!H126</f>
        <v>3638</v>
      </c>
      <c r="H161" s="307">
        <f t="shared" si="6"/>
        <v>0</v>
      </c>
      <c r="I161" s="81"/>
    </row>
    <row r="162" spans="1:9" s="48" customFormat="1" ht="17.25" customHeight="1">
      <c r="A162" s="25" t="s">
        <v>317</v>
      </c>
      <c r="B162" s="295" t="s">
        <v>200</v>
      </c>
      <c r="C162" s="148" t="s">
        <v>191</v>
      </c>
      <c r="D162" s="31" t="s">
        <v>318</v>
      </c>
      <c r="E162" s="148"/>
      <c r="F162" s="149" t="s">
        <v>136</v>
      </c>
      <c r="G162" s="150">
        <f>G163</f>
        <v>25640.9</v>
      </c>
      <c r="H162" s="312">
        <f t="shared" si="6"/>
        <v>0</v>
      </c>
      <c r="I162" s="81"/>
    </row>
    <row r="163" spans="1:9" s="48" customFormat="1" ht="17.25" customHeight="1">
      <c r="A163" s="27" t="s">
        <v>146</v>
      </c>
      <c r="B163" s="260" t="s">
        <v>200</v>
      </c>
      <c r="C163" s="141" t="s">
        <v>191</v>
      </c>
      <c r="D163" s="31" t="s">
        <v>318</v>
      </c>
      <c r="E163" s="141" t="s">
        <v>274</v>
      </c>
      <c r="F163" s="142"/>
      <c r="G163" s="143">
        <f>'Прилож №5'!H128+'Прилож №5'!H354</f>
        <v>25640.9</v>
      </c>
      <c r="H163" s="307"/>
      <c r="I163" s="81"/>
    </row>
    <row r="164" spans="1:9" s="48" customFormat="1" ht="19.5" customHeight="1">
      <c r="A164" s="47" t="s">
        <v>131</v>
      </c>
      <c r="B164" s="260" t="s">
        <v>200</v>
      </c>
      <c r="C164" s="141" t="s">
        <v>191</v>
      </c>
      <c r="D164" s="142" t="s">
        <v>132</v>
      </c>
      <c r="E164" s="141"/>
      <c r="F164" s="142"/>
      <c r="G164" s="143">
        <f>G165</f>
        <v>3910.8999999999996</v>
      </c>
      <c r="H164" s="312"/>
      <c r="I164" s="81"/>
    </row>
    <row r="165" spans="1:9" s="48" customFormat="1" ht="44.25" customHeight="1">
      <c r="A165" s="47" t="s">
        <v>282</v>
      </c>
      <c r="B165" s="260" t="s">
        <v>200</v>
      </c>
      <c r="C165" s="141" t="s">
        <v>191</v>
      </c>
      <c r="D165" s="142" t="s">
        <v>283</v>
      </c>
      <c r="E165" s="141"/>
      <c r="F165" s="142"/>
      <c r="G165" s="143">
        <f>G166</f>
        <v>3910.8999999999996</v>
      </c>
      <c r="H165" s="312"/>
      <c r="I165" s="81"/>
    </row>
    <row r="166" spans="1:9" s="48" customFormat="1" ht="17.25" customHeight="1" thickBot="1">
      <c r="A166" s="33" t="s">
        <v>146</v>
      </c>
      <c r="B166" s="295" t="s">
        <v>200</v>
      </c>
      <c r="C166" s="148" t="s">
        <v>191</v>
      </c>
      <c r="D166" s="149" t="s">
        <v>283</v>
      </c>
      <c r="E166" s="148" t="s">
        <v>274</v>
      </c>
      <c r="F166" s="149"/>
      <c r="G166" s="150">
        <f>'Прилож №5'!H131</f>
        <v>3910.8999999999996</v>
      </c>
      <c r="H166" s="312"/>
      <c r="I166" s="81"/>
    </row>
    <row r="167" spans="1:9" s="48" customFormat="1" ht="16.5" thickBot="1">
      <c r="A167" s="278" t="s">
        <v>43</v>
      </c>
      <c r="B167" s="293" t="s">
        <v>205</v>
      </c>
      <c r="C167" s="151" t="s">
        <v>126</v>
      </c>
      <c r="D167" s="152"/>
      <c r="E167" s="151"/>
      <c r="F167" s="163"/>
      <c r="G167" s="153">
        <f aca="true" t="shared" si="7" ref="G167:H169">G168</f>
        <v>1070.9999999999998</v>
      </c>
      <c r="H167" s="310">
        <f t="shared" si="7"/>
        <v>0</v>
      </c>
      <c r="I167" s="81"/>
    </row>
    <row r="168" spans="1:9" s="48" customFormat="1" ht="15.75">
      <c r="A168" s="147" t="s">
        <v>44</v>
      </c>
      <c r="B168" s="298" t="s">
        <v>205</v>
      </c>
      <c r="C168" s="164" t="s">
        <v>200</v>
      </c>
      <c r="D168" s="139"/>
      <c r="E168" s="164"/>
      <c r="F168" s="190"/>
      <c r="G168" s="165">
        <f t="shared" si="7"/>
        <v>1070.9999999999998</v>
      </c>
      <c r="H168" s="314">
        <f t="shared" si="7"/>
        <v>0</v>
      </c>
      <c r="I168" s="81"/>
    </row>
    <row r="169" spans="1:9" s="48" customFormat="1" ht="15.75">
      <c r="A169" s="281" t="s">
        <v>131</v>
      </c>
      <c r="B169" s="296" t="s">
        <v>205</v>
      </c>
      <c r="C169" s="159" t="s">
        <v>200</v>
      </c>
      <c r="D169" s="160" t="s">
        <v>132</v>
      </c>
      <c r="E169" s="159"/>
      <c r="F169" s="172"/>
      <c r="G169" s="161">
        <f t="shared" si="7"/>
        <v>1070.9999999999998</v>
      </c>
      <c r="H169" s="313">
        <f t="shared" si="7"/>
        <v>0</v>
      </c>
      <c r="I169" s="81"/>
    </row>
    <row r="170" spans="1:9" s="48" customFormat="1" ht="34.5" customHeight="1">
      <c r="A170" s="282" t="s">
        <v>356</v>
      </c>
      <c r="B170" s="296" t="s">
        <v>205</v>
      </c>
      <c r="C170" s="159" t="s">
        <v>200</v>
      </c>
      <c r="D170" s="160" t="s">
        <v>260</v>
      </c>
      <c r="E170" s="159"/>
      <c r="F170" s="172"/>
      <c r="G170" s="161">
        <f>G172+G171</f>
        <v>1070.9999999999998</v>
      </c>
      <c r="H170" s="313">
        <f>H172</f>
        <v>0</v>
      </c>
      <c r="I170" s="81"/>
    </row>
    <row r="171" spans="1:9" s="48" customFormat="1" ht="16.5" customHeight="1">
      <c r="A171" s="275" t="s">
        <v>209</v>
      </c>
      <c r="B171" s="296" t="s">
        <v>205</v>
      </c>
      <c r="C171" s="159" t="s">
        <v>200</v>
      </c>
      <c r="D171" s="160" t="s">
        <v>260</v>
      </c>
      <c r="E171" s="159" t="s">
        <v>67</v>
      </c>
      <c r="F171" s="172"/>
      <c r="G171" s="161">
        <f>'Прилож №5'!H135</f>
        <v>1068.1</v>
      </c>
      <c r="H171" s="313"/>
      <c r="I171" s="81"/>
    </row>
    <row r="172" spans="1:9" s="48" customFormat="1" ht="16.5" thickBot="1">
      <c r="A172" s="284" t="s">
        <v>334</v>
      </c>
      <c r="B172" s="296" t="s">
        <v>205</v>
      </c>
      <c r="C172" s="159" t="s">
        <v>200</v>
      </c>
      <c r="D172" s="160" t="s">
        <v>260</v>
      </c>
      <c r="E172" s="159" t="s">
        <v>4</v>
      </c>
      <c r="F172" s="172"/>
      <c r="G172" s="161">
        <f>'Прилож №5'!H137</f>
        <v>2.899999999999892</v>
      </c>
      <c r="H172" s="161">
        <f>'Прилож №5'!I137</f>
        <v>0</v>
      </c>
      <c r="I172" s="81"/>
    </row>
    <row r="173" spans="1:9" s="48" customFormat="1" ht="16.5" thickBot="1">
      <c r="A173" s="278" t="s">
        <v>6</v>
      </c>
      <c r="B173" s="293" t="s">
        <v>194</v>
      </c>
      <c r="C173" s="151" t="s">
        <v>126</v>
      </c>
      <c r="D173" s="152"/>
      <c r="E173" s="151"/>
      <c r="F173" s="163"/>
      <c r="G173" s="153">
        <f>G174+G182+G204+G216</f>
        <v>711027.1</v>
      </c>
      <c r="H173" s="310">
        <f>H174+H182+H204+H216</f>
        <v>245366.5</v>
      </c>
      <c r="I173" s="81"/>
    </row>
    <row r="174" spans="1:9" s="48" customFormat="1" ht="15.75">
      <c r="A174" s="147" t="s">
        <v>7</v>
      </c>
      <c r="B174" s="291" t="s">
        <v>194</v>
      </c>
      <c r="C174" s="138" t="s">
        <v>186</v>
      </c>
      <c r="D174" s="154"/>
      <c r="E174" s="138"/>
      <c r="F174" s="154"/>
      <c r="G174" s="140">
        <f>G175+G179</f>
        <v>272562.10000000003</v>
      </c>
      <c r="H174" s="305">
        <f>H175+H179</f>
        <v>2700</v>
      </c>
      <c r="I174" s="81"/>
    </row>
    <row r="175" spans="1:9" s="48" customFormat="1" ht="30">
      <c r="A175" s="275" t="s">
        <v>206</v>
      </c>
      <c r="B175" s="259" t="s">
        <v>194</v>
      </c>
      <c r="C175" s="159" t="s">
        <v>186</v>
      </c>
      <c r="D175" s="160" t="s">
        <v>71</v>
      </c>
      <c r="E175" s="159"/>
      <c r="F175" s="160"/>
      <c r="G175" s="161">
        <f aca="true" t="shared" si="8" ref="G175:H177">G176</f>
        <v>1319.2</v>
      </c>
      <c r="H175" s="313">
        <f t="shared" si="8"/>
        <v>0</v>
      </c>
      <c r="I175" s="81"/>
    </row>
    <row r="176" spans="1:9" s="48" customFormat="1" ht="60">
      <c r="A176" s="275" t="s">
        <v>207</v>
      </c>
      <c r="B176" s="259" t="s">
        <v>194</v>
      </c>
      <c r="C176" s="159" t="s">
        <v>186</v>
      </c>
      <c r="D176" s="160" t="s">
        <v>208</v>
      </c>
      <c r="E176" s="159"/>
      <c r="F176" s="160"/>
      <c r="G176" s="161">
        <f t="shared" si="8"/>
        <v>1319.2</v>
      </c>
      <c r="H176" s="313">
        <f t="shared" si="8"/>
        <v>0</v>
      </c>
      <c r="I176" s="81"/>
    </row>
    <row r="177" spans="1:9" s="48" customFormat="1" ht="30">
      <c r="A177" s="275" t="s">
        <v>242</v>
      </c>
      <c r="B177" s="260" t="s">
        <v>194</v>
      </c>
      <c r="C177" s="159" t="s">
        <v>186</v>
      </c>
      <c r="D177" s="160" t="s">
        <v>243</v>
      </c>
      <c r="E177" s="159"/>
      <c r="F177" s="160"/>
      <c r="G177" s="161">
        <f t="shared" si="8"/>
        <v>1319.2</v>
      </c>
      <c r="H177" s="313">
        <f t="shared" si="8"/>
        <v>0</v>
      </c>
      <c r="I177" s="81"/>
    </row>
    <row r="178" spans="1:9" s="48" customFormat="1" ht="15.75">
      <c r="A178" s="275" t="s">
        <v>209</v>
      </c>
      <c r="B178" s="259" t="s">
        <v>194</v>
      </c>
      <c r="C178" s="159" t="s">
        <v>186</v>
      </c>
      <c r="D178" s="160" t="s">
        <v>243</v>
      </c>
      <c r="E178" s="159" t="s">
        <v>67</v>
      </c>
      <c r="F178" s="160"/>
      <c r="G178" s="161">
        <f>'Прилож №5'!H145+'Прилож №5'!H149</f>
        <v>1319.2</v>
      </c>
      <c r="H178" s="161">
        <f>'Прилож №5'!I145+'Прилож №5'!I149</f>
        <v>0</v>
      </c>
      <c r="I178" s="81"/>
    </row>
    <row r="179" spans="1:9" s="48" customFormat="1" ht="15.75">
      <c r="A179" s="281" t="s">
        <v>8</v>
      </c>
      <c r="B179" s="295" t="s">
        <v>194</v>
      </c>
      <c r="C179" s="141" t="s">
        <v>186</v>
      </c>
      <c r="D179" s="142" t="s">
        <v>26</v>
      </c>
      <c r="E179" s="141"/>
      <c r="F179" s="142"/>
      <c r="G179" s="143">
        <f>G180</f>
        <v>271242.9</v>
      </c>
      <c r="H179" s="307">
        <f>H180</f>
        <v>2700</v>
      </c>
      <c r="I179" s="81"/>
    </row>
    <row r="180" spans="1:9" s="48" customFormat="1" ht="15.75">
      <c r="A180" s="283" t="s">
        <v>27</v>
      </c>
      <c r="B180" s="295" t="s">
        <v>194</v>
      </c>
      <c r="C180" s="148" t="s">
        <v>186</v>
      </c>
      <c r="D180" s="149" t="s">
        <v>210</v>
      </c>
      <c r="E180" s="148"/>
      <c r="F180" s="149"/>
      <c r="G180" s="143">
        <f>G181</f>
        <v>271242.9</v>
      </c>
      <c r="H180" s="307">
        <f>H181</f>
        <v>2700</v>
      </c>
      <c r="I180" s="81"/>
    </row>
    <row r="181" spans="1:9" s="48" customFormat="1" ht="15.75">
      <c r="A181" s="283" t="s">
        <v>172</v>
      </c>
      <c r="B181" s="295" t="s">
        <v>194</v>
      </c>
      <c r="C181" s="148" t="s">
        <v>186</v>
      </c>
      <c r="D181" s="149" t="s">
        <v>210</v>
      </c>
      <c r="E181" s="148" t="s">
        <v>86</v>
      </c>
      <c r="F181" s="149"/>
      <c r="G181" s="143">
        <f>'Прилож №5'!H224+'Прилож №5'!H152</f>
        <v>271242.9</v>
      </c>
      <c r="H181" s="307">
        <f>'Прилож №5'!I224</f>
        <v>2700</v>
      </c>
      <c r="I181" s="81"/>
    </row>
    <row r="182" spans="1:9" s="48" customFormat="1" ht="15.75">
      <c r="A182" s="277" t="s">
        <v>9</v>
      </c>
      <c r="B182" s="299" t="s">
        <v>194</v>
      </c>
      <c r="C182" s="162" t="s">
        <v>187</v>
      </c>
      <c r="D182" s="145"/>
      <c r="E182" s="144"/>
      <c r="F182" s="166"/>
      <c r="G182" s="146">
        <f>G187+G190+G195+G183+G193</f>
        <v>391786.1</v>
      </c>
      <c r="H182" s="308">
        <f>H187+H190+H195+H183+H193</f>
        <v>233130.2</v>
      </c>
      <c r="I182" s="81"/>
    </row>
    <row r="183" spans="1:9" s="48" customFormat="1" ht="26.25">
      <c r="A183" s="46" t="s">
        <v>206</v>
      </c>
      <c r="B183" s="44" t="s">
        <v>194</v>
      </c>
      <c r="C183" s="20" t="s">
        <v>187</v>
      </c>
      <c r="D183" s="31" t="s">
        <v>71</v>
      </c>
      <c r="E183" s="18"/>
      <c r="F183" s="31"/>
      <c r="G183" s="36">
        <f>G184</f>
        <v>329.6</v>
      </c>
      <c r="H183" s="309"/>
      <c r="I183" s="81"/>
    </row>
    <row r="184" spans="1:9" s="48" customFormat="1" ht="39">
      <c r="A184" s="46" t="s">
        <v>207</v>
      </c>
      <c r="B184" s="44" t="s">
        <v>194</v>
      </c>
      <c r="C184" s="20" t="s">
        <v>187</v>
      </c>
      <c r="D184" s="31" t="s">
        <v>208</v>
      </c>
      <c r="E184" s="18"/>
      <c r="F184" s="31"/>
      <c r="G184" s="36">
        <f>G185</f>
        <v>329.6</v>
      </c>
      <c r="H184" s="309"/>
      <c r="I184" s="81"/>
    </row>
    <row r="185" spans="1:9" s="48" customFormat="1" ht="26.25">
      <c r="A185" s="46" t="s">
        <v>242</v>
      </c>
      <c r="B185" s="44" t="s">
        <v>194</v>
      </c>
      <c r="C185" s="20" t="s">
        <v>187</v>
      </c>
      <c r="D185" s="31" t="s">
        <v>243</v>
      </c>
      <c r="E185" s="18"/>
      <c r="F185" s="31"/>
      <c r="G185" s="36">
        <f>G186</f>
        <v>329.6</v>
      </c>
      <c r="H185" s="309"/>
      <c r="I185" s="81"/>
    </row>
    <row r="186" spans="1:9" s="48" customFormat="1" ht="15.75">
      <c r="A186" s="26" t="s">
        <v>209</v>
      </c>
      <c r="B186" s="44" t="s">
        <v>194</v>
      </c>
      <c r="C186" s="20" t="s">
        <v>187</v>
      </c>
      <c r="D186" s="31" t="s">
        <v>243</v>
      </c>
      <c r="E186" s="18" t="s">
        <v>67</v>
      </c>
      <c r="F186" s="31"/>
      <c r="G186" s="36">
        <f>'Прилож №5'!H157</f>
        <v>329.6</v>
      </c>
      <c r="H186" s="309"/>
      <c r="I186" s="81"/>
    </row>
    <row r="187" spans="1:9" s="48" customFormat="1" ht="15" customHeight="1">
      <c r="A187" s="46" t="s">
        <v>110</v>
      </c>
      <c r="B187" s="43" t="s">
        <v>194</v>
      </c>
      <c r="C187" s="20" t="s">
        <v>187</v>
      </c>
      <c r="D187" s="31" t="s">
        <v>28</v>
      </c>
      <c r="E187" s="18"/>
      <c r="F187" s="31"/>
      <c r="G187" s="36">
        <f>G188</f>
        <v>308549.1</v>
      </c>
      <c r="H187" s="309">
        <f>H188</f>
        <v>221936.2</v>
      </c>
      <c r="I187" s="2"/>
    </row>
    <row r="188" spans="1:9" s="48" customFormat="1" ht="15.75">
      <c r="A188" s="26" t="s">
        <v>27</v>
      </c>
      <c r="B188" s="43" t="s">
        <v>194</v>
      </c>
      <c r="C188" s="18" t="s">
        <v>187</v>
      </c>
      <c r="D188" s="30" t="s">
        <v>211</v>
      </c>
      <c r="E188" s="18"/>
      <c r="F188" s="30"/>
      <c r="G188" s="38">
        <f>G189</f>
        <v>308549.1</v>
      </c>
      <c r="H188" s="306">
        <f>H189</f>
        <v>221936.2</v>
      </c>
      <c r="I188" s="2"/>
    </row>
    <row r="189" spans="1:9" s="48" customFormat="1" ht="15.75">
      <c r="A189" s="26" t="s">
        <v>172</v>
      </c>
      <c r="B189" s="43" t="s">
        <v>194</v>
      </c>
      <c r="C189" s="18" t="s">
        <v>187</v>
      </c>
      <c r="D189" s="30" t="s">
        <v>211</v>
      </c>
      <c r="E189" s="18" t="s">
        <v>86</v>
      </c>
      <c r="F189" s="30"/>
      <c r="G189" s="38">
        <f>'Прилож №5'!H228</f>
        <v>308549.1</v>
      </c>
      <c r="H189" s="306">
        <f>'Прилож №5'!I228</f>
        <v>221936.2</v>
      </c>
      <c r="I189" s="2"/>
    </row>
    <row r="190" spans="1:9" s="48" customFormat="1" ht="15.75">
      <c r="A190" s="25" t="s">
        <v>31</v>
      </c>
      <c r="B190" s="43" t="s">
        <v>194</v>
      </c>
      <c r="C190" s="18" t="s">
        <v>187</v>
      </c>
      <c r="D190" s="30" t="s">
        <v>32</v>
      </c>
      <c r="E190" s="18"/>
      <c r="F190" s="30"/>
      <c r="G190" s="38">
        <f>G191</f>
        <v>71666.30000000002</v>
      </c>
      <c r="H190" s="306">
        <f>H191</f>
        <v>0</v>
      </c>
      <c r="I190" s="2"/>
    </row>
    <row r="191" spans="1:9" s="48" customFormat="1" ht="15.75">
      <c r="A191" s="25" t="s">
        <v>27</v>
      </c>
      <c r="B191" s="43" t="s">
        <v>194</v>
      </c>
      <c r="C191" s="18" t="s">
        <v>187</v>
      </c>
      <c r="D191" s="30" t="s">
        <v>212</v>
      </c>
      <c r="E191" s="18"/>
      <c r="F191" s="30"/>
      <c r="G191" s="38">
        <f>G192</f>
        <v>71666.30000000002</v>
      </c>
      <c r="H191" s="306">
        <f>H192</f>
        <v>0</v>
      </c>
      <c r="I191" s="2"/>
    </row>
    <row r="192" spans="1:9" s="48" customFormat="1" ht="15.75">
      <c r="A192" s="26" t="s">
        <v>172</v>
      </c>
      <c r="B192" s="43" t="s">
        <v>194</v>
      </c>
      <c r="C192" s="18" t="s">
        <v>187</v>
      </c>
      <c r="D192" s="30" t="s">
        <v>212</v>
      </c>
      <c r="E192" s="18" t="s">
        <v>86</v>
      </c>
      <c r="F192" s="30"/>
      <c r="G192" s="38">
        <f>'Прилож №5'!H231+'Прилож №5'!H275+'Прилож №5'!H367+'Прилож №5'!H160</f>
        <v>71666.30000000002</v>
      </c>
      <c r="H192" s="306">
        <f>'Прилож №5'!I231+'Прилож №5'!I275+'Прилож №5'!I367</f>
        <v>0</v>
      </c>
      <c r="I192" s="2"/>
    </row>
    <row r="193" spans="1:9" s="48" customFormat="1" ht="15.75">
      <c r="A193" s="85" t="s">
        <v>390</v>
      </c>
      <c r="B193" s="18" t="s">
        <v>194</v>
      </c>
      <c r="C193" s="30" t="s">
        <v>187</v>
      </c>
      <c r="D193" s="18" t="s">
        <v>391</v>
      </c>
      <c r="E193" s="30"/>
      <c r="F193" s="80"/>
      <c r="G193" s="38">
        <f>G194</f>
        <v>347</v>
      </c>
      <c r="H193" s="306">
        <f>H194</f>
        <v>347</v>
      </c>
      <c r="I193" s="2"/>
    </row>
    <row r="194" spans="1:9" s="48" customFormat="1" ht="15.75">
      <c r="A194" s="85" t="s">
        <v>172</v>
      </c>
      <c r="B194" s="22" t="s">
        <v>194</v>
      </c>
      <c r="C194" s="29" t="s">
        <v>187</v>
      </c>
      <c r="D194" s="15" t="s">
        <v>391</v>
      </c>
      <c r="E194" s="10" t="s">
        <v>86</v>
      </c>
      <c r="F194" s="89" t="s">
        <v>86</v>
      </c>
      <c r="G194" s="37">
        <f>'Прилож №5'!H233</f>
        <v>347</v>
      </c>
      <c r="H194" s="315">
        <f>'Прилож №5'!I233</f>
        <v>347</v>
      </c>
      <c r="I194" s="2"/>
    </row>
    <row r="195" spans="1:9" s="48" customFormat="1" ht="15.75">
      <c r="A195" s="26" t="s">
        <v>125</v>
      </c>
      <c r="B195" s="43" t="s">
        <v>194</v>
      </c>
      <c r="C195" s="18" t="s">
        <v>187</v>
      </c>
      <c r="D195" s="30" t="s">
        <v>95</v>
      </c>
      <c r="E195" s="18"/>
      <c r="F195" s="30"/>
      <c r="G195" s="38">
        <f>G196+G198</f>
        <v>10894.1</v>
      </c>
      <c r="H195" s="306">
        <f>H196+H198</f>
        <v>10847</v>
      </c>
      <c r="I195" s="2"/>
    </row>
    <row r="196" spans="1:9" s="48" customFormat="1" ht="15.75">
      <c r="A196" s="26" t="s">
        <v>97</v>
      </c>
      <c r="B196" s="43" t="s">
        <v>194</v>
      </c>
      <c r="C196" s="18" t="s">
        <v>187</v>
      </c>
      <c r="D196" s="30" t="s">
        <v>213</v>
      </c>
      <c r="E196" s="18"/>
      <c r="F196" s="30"/>
      <c r="G196" s="38">
        <f>G197</f>
        <v>3712</v>
      </c>
      <c r="H196" s="306">
        <f>H197</f>
        <v>3712</v>
      </c>
      <c r="I196" s="2"/>
    </row>
    <row r="197" spans="1:9" s="48" customFormat="1" ht="15.75">
      <c r="A197" s="26" t="s">
        <v>172</v>
      </c>
      <c r="B197" s="43" t="s">
        <v>194</v>
      </c>
      <c r="C197" s="18" t="s">
        <v>187</v>
      </c>
      <c r="D197" s="30" t="s">
        <v>213</v>
      </c>
      <c r="E197" s="18" t="s">
        <v>86</v>
      </c>
      <c r="F197" s="30"/>
      <c r="G197" s="38">
        <f>'Прилож №5'!H236</f>
        <v>3712</v>
      </c>
      <c r="H197" s="306">
        <f>'Прилож №5'!I236</f>
        <v>3712</v>
      </c>
      <c r="I197" s="2"/>
    </row>
    <row r="198" spans="1:9" s="48" customFormat="1" ht="26.25">
      <c r="A198" s="46" t="s">
        <v>424</v>
      </c>
      <c r="B198" s="43" t="s">
        <v>194</v>
      </c>
      <c r="C198" s="18" t="s">
        <v>187</v>
      </c>
      <c r="D198" s="30" t="s">
        <v>392</v>
      </c>
      <c r="E198" s="18"/>
      <c r="F198" s="30"/>
      <c r="G198" s="38">
        <f>G203+G200+G199</f>
        <v>7182.1</v>
      </c>
      <c r="H198" s="306">
        <f>H203+H200+H199</f>
        <v>7135</v>
      </c>
      <c r="I198" s="2"/>
    </row>
    <row r="199" spans="1:9" s="48" customFormat="1" ht="26.25">
      <c r="A199" s="136" t="s">
        <v>424</v>
      </c>
      <c r="B199" s="18" t="s">
        <v>194</v>
      </c>
      <c r="C199" s="31" t="s">
        <v>187</v>
      </c>
      <c r="D199" s="20" t="s">
        <v>392</v>
      </c>
      <c r="E199" s="18" t="s">
        <v>86</v>
      </c>
      <c r="F199" s="30"/>
      <c r="G199" s="38">
        <f>'Прилож №5'!H238</f>
        <v>47.1</v>
      </c>
      <c r="H199" s="306">
        <f>'Прилож №5'!I238</f>
        <v>0</v>
      </c>
      <c r="I199" s="2"/>
    </row>
    <row r="200" spans="1:9" s="48" customFormat="1" ht="26.25">
      <c r="A200" s="46" t="s">
        <v>426</v>
      </c>
      <c r="B200" s="43" t="s">
        <v>194</v>
      </c>
      <c r="C200" s="18" t="s">
        <v>187</v>
      </c>
      <c r="D200" s="30" t="s">
        <v>423</v>
      </c>
      <c r="E200" s="18"/>
      <c r="F200" s="30"/>
      <c r="G200" s="38">
        <f>G201</f>
        <v>4170</v>
      </c>
      <c r="H200" s="306">
        <f>H201</f>
        <v>4170</v>
      </c>
      <c r="I200" s="2"/>
    </row>
    <row r="201" spans="1:9" s="48" customFormat="1" ht="15.75">
      <c r="A201" s="26" t="s">
        <v>172</v>
      </c>
      <c r="B201" s="43" t="s">
        <v>194</v>
      </c>
      <c r="C201" s="18" t="s">
        <v>187</v>
      </c>
      <c r="D201" s="30" t="s">
        <v>423</v>
      </c>
      <c r="E201" s="18" t="s">
        <v>86</v>
      </c>
      <c r="F201" s="30"/>
      <c r="G201" s="38">
        <f>'Прилож №5'!H240</f>
        <v>4170</v>
      </c>
      <c r="H201" s="306">
        <f>'Прилож №5'!I240</f>
        <v>4170</v>
      </c>
      <c r="I201" s="2"/>
    </row>
    <row r="202" spans="1:9" s="48" customFormat="1" ht="26.25">
      <c r="A202" s="46" t="s">
        <v>430</v>
      </c>
      <c r="B202" s="43" t="s">
        <v>194</v>
      </c>
      <c r="C202" s="18" t="s">
        <v>187</v>
      </c>
      <c r="D202" s="30" t="s">
        <v>429</v>
      </c>
      <c r="E202" s="18"/>
      <c r="F202" s="30"/>
      <c r="G202" s="38">
        <f>G203</f>
        <v>2965</v>
      </c>
      <c r="H202" s="306">
        <f>H203</f>
        <v>2965</v>
      </c>
      <c r="I202" s="2"/>
    </row>
    <row r="203" spans="1:9" s="48" customFormat="1" ht="15.75">
      <c r="A203" s="26" t="s">
        <v>172</v>
      </c>
      <c r="B203" s="43" t="s">
        <v>194</v>
      </c>
      <c r="C203" s="18" t="s">
        <v>187</v>
      </c>
      <c r="D203" s="30" t="s">
        <v>429</v>
      </c>
      <c r="E203" s="18" t="s">
        <v>86</v>
      </c>
      <c r="F203" s="30"/>
      <c r="G203" s="38">
        <f>'Прилож №5'!H242</f>
        <v>2965</v>
      </c>
      <c r="H203" s="306">
        <f>'Прилож №5'!I242</f>
        <v>2965</v>
      </c>
      <c r="I203" s="2"/>
    </row>
    <row r="204" spans="1:9" s="48" customFormat="1" ht="15.75">
      <c r="A204" s="25" t="s">
        <v>29</v>
      </c>
      <c r="B204" s="43" t="s">
        <v>194</v>
      </c>
      <c r="C204" s="18" t="s">
        <v>194</v>
      </c>
      <c r="D204" s="30"/>
      <c r="E204" s="18"/>
      <c r="F204" s="30"/>
      <c r="G204" s="38">
        <f>G210+G205+G213</f>
        <v>6958.5</v>
      </c>
      <c r="H204" s="306">
        <f>H210+H205</f>
        <v>0</v>
      </c>
      <c r="I204" s="2"/>
    </row>
    <row r="205" spans="1:9" s="48" customFormat="1" ht="15.75">
      <c r="A205" s="25" t="s">
        <v>92</v>
      </c>
      <c r="B205" s="43" t="s">
        <v>194</v>
      </c>
      <c r="C205" s="18" t="s">
        <v>194</v>
      </c>
      <c r="D205" s="30" t="s">
        <v>93</v>
      </c>
      <c r="E205" s="18"/>
      <c r="F205" s="30"/>
      <c r="G205" s="38">
        <f>G206+G208</f>
        <v>3374.2999999999997</v>
      </c>
      <c r="H205" s="316">
        <f>H206</f>
        <v>0</v>
      </c>
      <c r="I205" s="2"/>
    </row>
    <row r="206" spans="1:9" s="48" customFormat="1" ht="15.75">
      <c r="A206" s="25" t="s">
        <v>94</v>
      </c>
      <c r="B206" s="43" t="s">
        <v>194</v>
      </c>
      <c r="C206" s="18" t="s">
        <v>194</v>
      </c>
      <c r="D206" s="30" t="s">
        <v>214</v>
      </c>
      <c r="E206" s="18"/>
      <c r="F206" s="30"/>
      <c r="G206" s="38">
        <f>G207</f>
        <v>61.6</v>
      </c>
      <c r="H206" s="316">
        <f>H207</f>
        <v>0</v>
      </c>
      <c r="I206" s="2"/>
    </row>
    <row r="207" spans="1:9" s="48" customFormat="1" ht="15.75">
      <c r="A207" s="26" t="s">
        <v>172</v>
      </c>
      <c r="B207" s="43" t="s">
        <v>194</v>
      </c>
      <c r="C207" s="18" t="s">
        <v>194</v>
      </c>
      <c r="D207" s="30" t="s">
        <v>214</v>
      </c>
      <c r="E207" s="18" t="s">
        <v>86</v>
      </c>
      <c r="F207" s="30" t="s">
        <v>15</v>
      </c>
      <c r="G207" s="38">
        <f>'Прилож №5'!H371</f>
        <v>61.6</v>
      </c>
      <c r="H207" s="316">
        <f>'Прилож №5'!I371</f>
        <v>0</v>
      </c>
      <c r="I207" s="2"/>
    </row>
    <row r="208" spans="1:9" s="48" customFormat="1" ht="15.75">
      <c r="A208" s="26" t="s">
        <v>27</v>
      </c>
      <c r="B208" s="43" t="s">
        <v>194</v>
      </c>
      <c r="C208" s="18" t="s">
        <v>194</v>
      </c>
      <c r="D208" s="30" t="s">
        <v>448</v>
      </c>
      <c r="E208" s="18"/>
      <c r="F208" s="30"/>
      <c r="G208" s="38">
        <f>G209</f>
        <v>3312.7</v>
      </c>
      <c r="H208" s="316"/>
      <c r="I208" s="2"/>
    </row>
    <row r="209" spans="1:9" s="48" customFormat="1" ht="15.75">
      <c r="A209" s="8" t="s">
        <v>172</v>
      </c>
      <c r="B209" s="43" t="s">
        <v>194</v>
      </c>
      <c r="C209" s="18" t="s">
        <v>194</v>
      </c>
      <c r="D209" s="30" t="s">
        <v>448</v>
      </c>
      <c r="E209" s="18" t="s">
        <v>86</v>
      </c>
      <c r="F209" s="30"/>
      <c r="G209" s="38">
        <f>'Прилож №5'!H373</f>
        <v>3312.7</v>
      </c>
      <c r="H209" s="316"/>
      <c r="I209" s="2"/>
    </row>
    <row r="210" spans="1:9" s="48" customFormat="1" ht="15.75">
      <c r="A210" s="47" t="s">
        <v>215</v>
      </c>
      <c r="B210" s="43" t="s">
        <v>194</v>
      </c>
      <c r="C210" s="18" t="s">
        <v>194</v>
      </c>
      <c r="D210" s="30" t="s">
        <v>30</v>
      </c>
      <c r="E210" s="18"/>
      <c r="F210" s="30"/>
      <c r="G210" s="38">
        <f>G211</f>
        <v>3188.7999999999997</v>
      </c>
      <c r="H210" s="306">
        <f>H211</f>
        <v>0</v>
      </c>
      <c r="I210" s="2"/>
    </row>
    <row r="211" spans="1:9" s="48" customFormat="1" ht="15.75">
      <c r="A211" s="25" t="s">
        <v>216</v>
      </c>
      <c r="B211" s="43" t="s">
        <v>194</v>
      </c>
      <c r="C211" s="18" t="s">
        <v>194</v>
      </c>
      <c r="D211" s="30" t="s">
        <v>217</v>
      </c>
      <c r="E211" s="18"/>
      <c r="F211" s="30"/>
      <c r="G211" s="38">
        <f>G212</f>
        <v>3188.7999999999997</v>
      </c>
      <c r="H211" s="306">
        <f>H212</f>
        <v>0</v>
      </c>
      <c r="I211" s="2"/>
    </row>
    <row r="212" spans="1:9" s="48" customFormat="1" ht="15.75">
      <c r="A212" s="26" t="s">
        <v>172</v>
      </c>
      <c r="B212" s="43" t="s">
        <v>194</v>
      </c>
      <c r="C212" s="18" t="s">
        <v>194</v>
      </c>
      <c r="D212" s="30" t="s">
        <v>217</v>
      </c>
      <c r="E212" s="18" t="s">
        <v>86</v>
      </c>
      <c r="F212" s="30"/>
      <c r="G212" s="38">
        <f>'Прилож №5'!H246+'Прилож №5'!H376</f>
        <v>3188.7999999999997</v>
      </c>
      <c r="H212" s="306">
        <f>'Прилож №5'!I246+'Прилож №5'!I376</f>
        <v>0</v>
      </c>
      <c r="I212" s="2"/>
    </row>
    <row r="213" spans="1:9" s="48" customFormat="1" ht="15.75">
      <c r="A213" s="25" t="s">
        <v>131</v>
      </c>
      <c r="B213" s="260" t="s">
        <v>194</v>
      </c>
      <c r="C213" s="141" t="s">
        <v>194</v>
      </c>
      <c r="D213" s="142" t="s">
        <v>132</v>
      </c>
      <c r="E213" s="141"/>
      <c r="F213" s="142"/>
      <c r="G213" s="143">
        <f>G214</f>
        <v>395.4000000000001</v>
      </c>
      <c r="H213" s="307"/>
      <c r="I213" s="81"/>
    </row>
    <row r="214" spans="1:9" s="48" customFormat="1" ht="26.25">
      <c r="A214" s="47" t="s">
        <v>253</v>
      </c>
      <c r="B214" s="260" t="s">
        <v>194</v>
      </c>
      <c r="C214" s="141" t="s">
        <v>194</v>
      </c>
      <c r="D214" s="142" t="s">
        <v>221</v>
      </c>
      <c r="E214" s="141"/>
      <c r="F214" s="142"/>
      <c r="G214" s="143">
        <f>G215</f>
        <v>395.4000000000001</v>
      </c>
      <c r="H214" s="307"/>
      <c r="I214" s="81"/>
    </row>
    <row r="215" spans="1:9" s="48" customFormat="1" ht="15.75">
      <c r="A215" s="27" t="s">
        <v>146</v>
      </c>
      <c r="B215" s="260" t="s">
        <v>194</v>
      </c>
      <c r="C215" s="141" t="s">
        <v>194</v>
      </c>
      <c r="D215" s="142" t="s">
        <v>221</v>
      </c>
      <c r="E215" s="141" t="s">
        <v>274</v>
      </c>
      <c r="F215" s="142"/>
      <c r="G215" s="143">
        <f>'Прилож №5'!H379</f>
        <v>395.4000000000001</v>
      </c>
      <c r="H215" s="307"/>
      <c r="I215" s="81"/>
    </row>
    <row r="216" spans="1:9" s="48" customFormat="1" ht="15.75">
      <c r="A216" s="277" t="s">
        <v>33</v>
      </c>
      <c r="B216" s="292" t="s">
        <v>194</v>
      </c>
      <c r="C216" s="144" t="s">
        <v>192</v>
      </c>
      <c r="D216" s="145"/>
      <c r="E216" s="144"/>
      <c r="F216" s="145"/>
      <c r="G216" s="146">
        <f>G217+G223+G226+G220</f>
        <v>39720.399999999994</v>
      </c>
      <c r="H216" s="308">
        <f>H217+H223+H226+H220</f>
        <v>9536.3</v>
      </c>
      <c r="I216" s="81"/>
    </row>
    <row r="217" spans="1:9" s="48" customFormat="1" ht="15.75">
      <c r="A217" s="282" t="s">
        <v>147</v>
      </c>
      <c r="B217" s="260" t="s">
        <v>194</v>
      </c>
      <c r="C217" s="141" t="s">
        <v>192</v>
      </c>
      <c r="D217" s="142" t="s">
        <v>273</v>
      </c>
      <c r="E217" s="141"/>
      <c r="F217" s="142"/>
      <c r="G217" s="143">
        <f>G218</f>
        <v>10263.8</v>
      </c>
      <c r="H217" s="307">
        <f>H218</f>
        <v>0</v>
      </c>
      <c r="I217" s="81"/>
    </row>
    <row r="218" spans="1:9" s="48" customFormat="1" ht="15.75">
      <c r="A218" s="284" t="s">
        <v>50</v>
      </c>
      <c r="B218" s="260" t="s">
        <v>194</v>
      </c>
      <c r="C218" s="141" t="s">
        <v>192</v>
      </c>
      <c r="D218" s="142" t="s">
        <v>275</v>
      </c>
      <c r="E218" s="141"/>
      <c r="F218" s="142"/>
      <c r="G218" s="143">
        <f>G219</f>
        <v>10263.8</v>
      </c>
      <c r="H218" s="307">
        <f>H219</f>
        <v>0</v>
      </c>
      <c r="I218" s="81"/>
    </row>
    <row r="219" spans="1:9" s="48" customFormat="1" ht="15.75">
      <c r="A219" s="284" t="s">
        <v>146</v>
      </c>
      <c r="B219" s="260" t="s">
        <v>194</v>
      </c>
      <c r="C219" s="141" t="s">
        <v>192</v>
      </c>
      <c r="D219" s="142" t="s">
        <v>275</v>
      </c>
      <c r="E219" s="141" t="s">
        <v>274</v>
      </c>
      <c r="F219" s="142"/>
      <c r="G219" s="143">
        <f>'Прилож №5'!H250</f>
        <v>10263.8</v>
      </c>
      <c r="H219" s="307">
        <f>'Прилож №5'!I250</f>
        <v>0</v>
      </c>
      <c r="I219" s="81"/>
    </row>
    <row r="220" spans="1:9" s="48" customFormat="1" ht="15.75">
      <c r="A220" s="283" t="s">
        <v>266</v>
      </c>
      <c r="B220" s="260" t="s">
        <v>194</v>
      </c>
      <c r="C220" s="141" t="s">
        <v>192</v>
      </c>
      <c r="D220" s="142" t="s">
        <v>267</v>
      </c>
      <c r="E220" s="141"/>
      <c r="F220" s="142"/>
      <c r="G220" s="143">
        <f>G221</f>
        <v>8822.8</v>
      </c>
      <c r="H220" s="143">
        <f>H221</f>
        <v>8822.8</v>
      </c>
      <c r="I220" s="81"/>
    </row>
    <row r="221" spans="1:9" s="48" customFormat="1" ht="15.75">
      <c r="A221" s="283" t="s">
        <v>269</v>
      </c>
      <c r="B221" s="260" t="s">
        <v>194</v>
      </c>
      <c r="C221" s="141" t="s">
        <v>192</v>
      </c>
      <c r="D221" s="142" t="s">
        <v>268</v>
      </c>
      <c r="E221" s="141"/>
      <c r="F221" s="142"/>
      <c r="G221" s="143">
        <f>G222</f>
        <v>8822.8</v>
      </c>
      <c r="H221" s="307">
        <f>H222</f>
        <v>8822.8</v>
      </c>
      <c r="I221" s="81"/>
    </row>
    <row r="222" spans="1:9" s="48" customFormat="1" ht="15.75">
      <c r="A222" s="283" t="s">
        <v>270</v>
      </c>
      <c r="B222" s="260" t="s">
        <v>194</v>
      </c>
      <c r="C222" s="141" t="s">
        <v>192</v>
      </c>
      <c r="D222" s="142" t="s">
        <v>268</v>
      </c>
      <c r="E222" s="141" t="s">
        <v>271</v>
      </c>
      <c r="F222" s="142"/>
      <c r="G222" s="143">
        <f>'Прилож №5'!H253</f>
        <v>8822.8</v>
      </c>
      <c r="H222" s="307">
        <f>'Прилож №5'!I253</f>
        <v>8822.8</v>
      </c>
      <c r="I222" s="81"/>
    </row>
    <row r="223" spans="1:9" s="48" customFormat="1" ht="60">
      <c r="A223" s="270" t="s">
        <v>111</v>
      </c>
      <c r="B223" s="260" t="s">
        <v>194</v>
      </c>
      <c r="C223" s="141" t="s">
        <v>192</v>
      </c>
      <c r="D223" s="142" t="s">
        <v>40</v>
      </c>
      <c r="E223" s="141"/>
      <c r="F223" s="142"/>
      <c r="G223" s="143">
        <f>G224</f>
        <v>10304.400000000001</v>
      </c>
      <c r="H223" s="307">
        <f>H224</f>
        <v>713.5</v>
      </c>
      <c r="I223" s="81"/>
    </row>
    <row r="224" spans="1:9" s="48" customFormat="1" ht="15.75">
      <c r="A224" s="281" t="s">
        <v>27</v>
      </c>
      <c r="B224" s="260" t="s">
        <v>194</v>
      </c>
      <c r="C224" s="141" t="s">
        <v>192</v>
      </c>
      <c r="D224" s="142" t="s">
        <v>218</v>
      </c>
      <c r="E224" s="141"/>
      <c r="F224" s="142"/>
      <c r="G224" s="143">
        <f>G225</f>
        <v>10304.400000000001</v>
      </c>
      <c r="H224" s="307">
        <f>H225</f>
        <v>713.5</v>
      </c>
      <c r="I224" s="81"/>
    </row>
    <row r="225" spans="1:9" s="48" customFormat="1" ht="15.75">
      <c r="A225" s="283" t="s">
        <v>172</v>
      </c>
      <c r="B225" s="260" t="s">
        <v>194</v>
      </c>
      <c r="C225" s="141" t="s">
        <v>192</v>
      </c>
      <c r="D225" s="142" t="s">
        <v>218</v>
      </c>
      <c r="E225" s="141" t="s">
        <v>86</v>
      </c>
      <c r="F225" s="142"/>
      <c r="G225" s="143">
        <f>'Прилож №5'!H256</f>
        <v>10304.400000000001</v>
      </c>
      <c r="H225" s="307">
        <f>'Прилож №5'!I256</f>
        <v>713.5</v>
      </c>
      <c r="I225" s="81"/>
    </row>
    <row r="226" spans="1:9" s="48" customFormat="1" ht="15.75">
      <c r="A226" s="281" t="s">
        <v>131</v>
      </c>
      <c r="B226" s="296" t="s">
        <v>194</v>
      </c>
      <c r="C226" s="159" t="s">
        <v>192</v>
      </c>
      <c r="D226" s="160" t="s">
        <v>132</v>
      </c>
      <c r="E226" s="159"/>
      <c r="F226" s="160"/>
      <c r="G226" s="161">
        <f>G227</f>
        <v>10329.4</v>
      </c>
      <c r="H226" s="313">
        <f>H227</f>
        <v>0</v>
      </c>
      <c r="I226" s="81"/>
    </row>
    <row r="227" spans="1:9" s="48" customFormat="1" ht="30">
      <c r="A227" s="270" t="s">
        <v>219</v>
      </c>
      <c r="B227" s="259" t="s">
        <v>194</v>
      </c>
      <c r="C227" s="255" t="s">
        <v>192</v>
      </c>
      <c r="D227" s="188" t="s">
        <v>220</v>
      </c>
      <c r="E227" s="255"/>
      <c r="F227" s="188"/>
      <c r="G227" s="257">
        <f>G228</f>
        <v>10329.4</v>
      </c>
      <c r="H227" s="321">
        <f>H228</f>
        <v>0</v>
      </c>
      <c r="I227" s="81"/>
    </row>
    <row r="228" spans="1:9" s="48" customFormat="1" ht="16.5" thickBot="1">
      <c r="A228" s="26" t="s">
        <v>146</v>
      </c>
      <c r="B228" s="295" t="s">
        <v>194</v>
      </c>
      <c r="C228" s="148" t="s">
        <v>192</v>
      </c>
      <c r="D228" s="149" t="s">
        <v>220</v>
      </c>
      <c r="E228" s="148" t="s">
        <v>274</v>
      </c>
      <c r="F228" s="149"/>
      <c r="G228" s="150">
        <f>'Прилож №5'!H259</f>
        <v>10329.4</v>
      </c>
      <c r="H228" s="312">
        <f>'Прилож №5'!I259</f>
        <v>0</v>
      </c>
      <c r="I228" s="81"/>
    </row>
    <row r="229" spans="1:9" s="48" customFormat="1" ht="16.5" thickBot="1">
      <c r="A229" s="280" t="s">
        <v>116</v>
      </c>
      <c r="B229" s="293" t="s">
        <v>195</v>
      </c>
      <c r="C229" s="151" t="s">
        <v>126</v>
      </c>
      <c r="D229" s="152"/>
      <c r="E229" s="151"/>
      <c r="F229" s="163"/>
      <c r="G229" s="153">
        <f>G230+G251</f>
        <v>84283.4</v>
      </c>
      <c r="H229" s="310">
        <f>H230+H251</f>
        <v>3452</v>
      </c>
      <c r="I229" s="81"/>
    </row>
    <row r="230" spans="1:9" s="48" customFormat="1" ht="15.75">
      <c r="A230" s="147" t="s">
        <v>34</v>
      </c>
      <c r="B230" s="298" t="s">
        <v>195</v>
      </c>
      <c r="C230" s="164" t="s">
        <v>186</v>
      </c>
      <c r="D230" s="139"/>
      <c r="E230" s="164"/>
      <c r="F230" s="139" t="s">
        <v>10</v>
      </c>
      <c r="G230" s="165">
        <f>G231+G234+G237+G240+G243+G248</f>
        <v>77502.9</v>
      </c>
      <c r="H230" s="314">
        <f>H231+H234+H237+H240+H243+H248</f>
        <v>3452</v>
      </c>
      <c r="I230" s="81"/>
    </row>
    <row r="231" spans="1:9" s="48" customFormat="1" ht="30">
      <c r="A231" s="282" t="s">
        <v>119</v>
      </c>
      <c r="B231" s="260" t="s">
        <v>195</v>
      </c>
      <c r="C231" s="141" t="s">
        <v>186</v>
      </c>
      <c r="D231" s="142" t="s">
        <v>35</v>
      </c>
      <c r="E231" s="141"/>
      <c r="F231" s="142" t="s">
        <v>11</v>
      </c>
      <c r="G231" s="143">
        <f>G232</f>
        <v>49265.3</v>
      </c>
      <c r="H231" s="307">
        <f>H232</f>
        <v>3200</v>
      </c>
      <c r="I231" s="81"/>
    </row>
    <row r="232" spans="1:9" s="48" customFormat="1" ht="15.75">
      <c r="A232" s="283" t="s">
        <v>27</v>
      </c>
      <c r="B232" s="260" t="s">
        <v>195</v>
      </c>
      <c r="C232" s="141" t="s">
        <v>186</v>
      </c>
      <c r="D232" s="142" t="s">
        <v>222</v>
      </c>
      <c r="E232" s="141"/>
      <c r="F232" s="142"/>
      <c r="G232" s="143">
        <f>G233</f>
        <v>49265.3</v>
      </c>
      <c r="H232" s="307">
        <f>H233</f>
        <v>3200</v>
      </c>
      <c r="I232" s="81"/>
    </row>
    <row r="233" spans="1:9" s="48" customFormat="1" ht="15.75">
      <c r="A233" s="281" t="s">
        <v>172</v>
      </c>
      <c r="B233" s="260" t="s">
        <v>195</v>
      </c>
      <c r="C233" s="141" t="s">
        <v>186</v>
      </c>
      <c r="D233" s="142" t="s">
        <v>222</v>
      </c>
      <c r="E233" s="141" t="s">
        <v>86</v>
      </c>
      <c r="F233" s="142"/>
      <c r="G233" s="143">
        <f>'Прилож №5'!H280</f>
        <v>49265.3</v>
      </c>
      <c r="H233" s="307">
        <f>'Прилож №5'!I280</f>
        <v>3200</v>
      </c>
      <c r="I233" s="81"/>
    </row>
    <row r="234" spans="1:9" s="48" customFormat="1" ht="15.75">
      <c r="A234" s="281" t="s">
        <v>13</v>
      </c>
      <c r="B234" s="260" t="s">
        <v>195</v>
      </c>
      <c r="C234" s="141" t="s">
        <v>186</v>
      </c>
      <c r="D234" s="142" t="s">
        <v>36</v>
      </c>
      <c r="E234" s="141"/>
      <c r="F234" s="142"/>
      <c r="G234" s="143">
        <f>G235</f>
        <v>3265.7000000000003</v>
      </c>
      <c r="H234" s="307">
        <f>H235</f>
        <v>0</v>
      </c>
      <c r="I234" s="81"/>
    </row>
    <row r="235" spans="1:9" s="48" customFormat="1" ht="15.75">
      <c r="A235" s="283" t="s">
        <v>27</v>
      </c>
      <c r="B235" s="260" t="s">
        <v>195</v>
      </c>
      <c r="C235" s="141" t="s">
        <v>186</v>
      </c>
      <c r="D235" s="142" t="s">
        <v>223</v>
      </c>
      <c r="E235" s="141"/>
      <c r="F235" s="142"/>
      <c r="G235" s="143">
        <f>G236</f>
        <v>3265.7000000000003</v>
      </c>
      <c r="H235" s="307">
        <f>H236</f>
        <v>0</v>
      </c>
      <c r="I235" s="81"/>
    </row>
    <row r="236" spans="1:9" s="48" customFormat="1" ht="15.75">
      <c r="A236" s="281" t="s">
        <v>172</v>
      </c>
      <c r="B236" s="260" t="s">
        <v>195</v>
      </c>
      <c r="C236" s="141" t="s">
        <v>186</v>
      </c>
      <c r="D236" s="142" t="s">
        <v>223</v>
      </c>
      <c r="E236" s="141" t="s">
        <v>86</v>
      </c>
      <c r="F236" s="142"/>
      <c r="G236" s="143">
        <f>'Прилож №5'!H283</f>
        <v>3265.7000000000003</v>
      </c>
      <c r="H236" s="307">
        <f>'Прилож №5'!I283</f>
        <v>0</v>
      </c>
      <c r="I236" s="81"/>
    </row>
    <row r="237" spans="1:9" s="48" customFormat="1" ht="15.75">
      <c r="A237" s="281" t="s">
        <v>14</v>
      </c>
      <c r="B237" s="260" t="s">
        <v>195</v>
      </c>
      <c r="C237" s="141" t="s">
        <v>186</v>
      </c>
      <c r="D237" s="142" t="s">
        <v>37</v>
      </c>
      <c r="E237" s="141"/>
      <c r="F237" s="142"/>
      <c r="G237" s="143">
        <f>G238</f>
        <v>11601.2</v>
      </c>
      <c r="H237" s="307">
        <f>H238</f>
        <v>0</v>
      </c>
      <c r="I237" s="81"/>
    </row>
    <row r="238" spans="1:9" s="48" customFormat="1" ht="15.75">
      <c r="A238" s="283" t="s">
        <v>27</v>
      </c>
      <c r="B238" s="260" t="s">
        <v>195</v>
      </c>
      <c r="C238" s="141" t="s">
        <v>186</v>
      </c>
      <c r="D238" s="142" t="s">
        <v>224</v>
      </c>
      <c r="E238" s="141"/>
      <c r="F238" s="142"/>
      <c r="G238" s="143">
        <f>G239</f>
        <v>11601.2</v>
      </c>
      <c r="H238" s="307">
        <f>H239</f>
        <v>0</v>
      </c>
      <c r="I238" s="81"/>
    </row>
    <row r="239" spans="1:9" s="48" customFormat="1" ht="15.75">
      <c r="A239" s="281" t="s">
        <v>172</v>
      </c>
      <c r="B239" s="260" t="s">
        <v>195</v>
      </c>
      <c r="C239" s="141" t="s">
        <v>186</v>
      </c>
      <c r="D239" s="142" t="s">
        <v>224</v>
      </c>
      <c r="E239" s="141" t="s">
        <v>86</v>
      </c>
      <c r="F239" s="142"/>
      <c r="G239" s="143">
        <f>'Прилож №5'!H286</f>
        <v>11601.2</v>
      </c>
      <c r="H239" s="307">
        <f>'Прилож №5'!I286</f>
        <v>0</v>
      </c>
      <c r="I239" s="81"/>
    </row>
    <row r="240" spans="1:9" s="48" customFormat="1" ht="30">
      <c r="A240" s="282" t="s">
        <v>112</v>
      </c>
      <c r="B240" s="260" t="s">
        <v>195</v>
      </c>
      <c r="C240" s="141" t="s">
        <v>186</v>
      </c>
      <c r="D240" s="142" t="s">
        <v>38</v>
      </c>
      <c r="E240" s="141"/>
      <c r="F240" s="142"/>
      <c r="G240" s="143">
        <f>G241</f>
        <v>10646.800000000001</v>
      </c>
      <c r="H240" s="307">
        <f>H241</f>
        <v>0</v>
      </c>
      <c r="I240" s="81"/>
    </row>
    <row r="241" spans="1:9" s="48" customFormat="1" ht="15.75">
      <c r="A241" s="283" t="s">
        <v>27</v>
      </c>
      <c r="B241" s="260" t="s">
        <v>195</v>
      </c>
      <c r="C241" s="141" t="s">
        <v>186</v>
      </c>
      <c r="D241" s="142" t="s">
        <v>225</v>
      </c>
      <c r="E241" s="141"/>
      <c r="F241" s="142"/>
      <c r="G241" s="143">
        <f>G242</f>
        <v>10646.800000000001</v>
      </c>
      <c r="H241" s="307">
        <f>H242</f>
        <v>0</v>
      </c>
      <c r="I241" s="81"/>
    </row>
    <row r="242" spans="1:9" s="48" customFormat="1" ht="15.75">
      <c r="A242" s="281" t="s">
        <v>172</v>
      </c>
      <c r="B242" s="260" t="s">
        <v>195</v>
      </c>
      <c r="C242" s="141" t="s">
        <v>186</v>
      </c>
      <c r="D242" s="149" t="s">
        <v>225</v>
      </c>
      <c r="E242" s="141" t="s">
        <v>86</v>
      </c>
      <c r="F242" s="149"/>
      <c r="G242" s="143">
        <f>'Прилож №5'!H289</f>
        <v>10646.800000000001</v>
      </c>
      <c r="H242" s="307">
        <f>'Прилож №5'!I289</f>
        <v>0</v>
      </c>
      <c r="I242" s="81"/>
    </row>
    <row r="243" spans="1:9" s="48" customFormat="1" ht="30">
      <c r="A243" s="282" t="s">
        <v>100</v>
      </c>
      <c r="B243" s="260" t="s">
        <v>195</v>
      </c>
      <c r="C243" s="141" t="s">
        <v>186</v>
      </c>
      <c r="D243" s="149" t="s">
        <v>39</v>
      </c>
      <c r="E243" s="141"/>
      <c r="F243" s="149" t="s">
        <v>12</v>
      </c>
      <c r="G243" s="143">
        <f>G246+G244</f>
        <v>407.5</v>
      </c>
      <c r="H243" s="307">
        <f>H246+H244</f>
        <v>252</v>
      </c>
      <c r="I243" s="81"/>
    </row>
    <row r="244" spans="1:9" s="48" customFormat="1" ht="15.75">
      <c r="A244" s="113" t="s">
        <v>432</v>
      </c>
      <c r="B244" s="260" t="s">
        <v>195</v>
      </c>
      <c r="C244" s="141" t="s">
        <v>186</v>
      </c>
      <c r="D244" s="149" t="s">
        <v>433</v>
      </c>
      <c r="E244" s="148"/>
      <c r="F244" s="149"/>
      <c r="G244" s="143">
        <f>G245</f>
        <v>252</v>
      </c>
      <c r="H244" s="307">
        <f>H245</f>
        <v>252</v>
      </c>
      <c r="I244" s="81"/>
    </row>
    <row r="245" spans="1:9" s="48" customFormat="1" ht="15.75">
      <c r="A245" s="8" t="s">
        <v>172</v>
      </c>
      <c r="B245" s="260" t="s">
        <v>195</v>
      </c>
      <c r="C245" s="141" t="s">
        <v>186</v>
      </c>
      <c r="D245" s="149" t="s">
        <v>433</v>
      </c>
      <c r="E245" s="148" t="s">
        <v>86</v>
      </c>
      <c r="F245" s="149"/>
      <c r="G245" s="143">
        <f>'Прилож №5'!H291</f>
        <v>252</v>
      </c>
      <c r="H245" s="307">
        <f>'Прилож №5'!I291</f>
        <v>252</v>
      </c>
      <c r="I245" s="81"/>
    </row>
    <row r="246" spans="1:9" s="48" customFormat="1" ht="30">
      <c r="A246" s="270" t="s">
        <v>101</v>
      </c>
      <c r="B246" s="260" t="s">
        <v>195</v>
      </c>
      <c r="C246" s="141" t="s">
        <v>186</v>
      </c>
      <c r="D246" s="149" t="s">
        <v>226</v>
      </c>
      <c r="E246" s="148"/>
      <c r="F246" s="149"/>
      <c r="G246" s="143">
        <f>G247</f>
        <v>155.5</v>
      </c>
      <c r="H246" s="307">
        <f>H247</f>
        <v>0</v>
      </c>
      <c r="I246" s="81"/>
    </row>
    <row r="247" spans="1:9" s="48" customFormat="1" ht="15.75">
      <c r="A247" s="281" t="s">
        <v>172</v>
      </c>
      <c r="B247" s="260" t="s">
        <v>195</v>
      </c>
      <c r="C247" s="141" t="s">
        <v>186</v>
      </c>
      <c r="D247" s="149" t="s">
        <v>226</v>
      </c>
      <c r="E247" s="148" t="s">
        <v>86</v>
      </c>
      <c r="F247" s="149"/>
      <c r="G247" s="143">
        <f>'Прилож №5'!H358+'Прилож №5'!H165+'Прилож №5'!H264</f>
        <v>155.5</v>
      </c>
      <c r="H247" s="307">
        <f>'Прилож №5'!I358+'Прилож №5'!I165</f>
        <v>0</v>
      </c>
      <c r="I247" s="81"/>
    </row>
    <row r="248" spans="1:9" s="48" customFormat="1" ht="15.75">
      <c r="A248" s="281" t="s">
        <v>131</v>
      </c>
      <c r="B248" s="260" t="s">
        <v>195</v>
      </c>
      <c r="C248" s="148" t="s">
        <v>186</v>
      </c>
      <c r="D248" s="149" t="s">
        <v>132</v>
      </c>
      <c r="E248" s="148"/>
      <c r="F248" s="149"/>
      <c r="G248" s="143">
        <f>G249</f>
        <v>2316.3999999999996</v>
      </c>
      <c r="H248" s="307">
        <f>H249</f>
        <v>0</v>
      </c>
      <c r="I248" s="81"/>
    </row>
    <row r="249" spans="1:9" s="48" customFormat="1" ht="30">
      <c r="A249" s="282" t="s">
        <v>251</v>
      </c>
      <c r="B249" s="260" t="s">
        <v>195</v>
      </c>
      <c r="C249" s="148" t="s">
        <v>186</v>
      </c>
      <c r="D249" s="149" t="s">
        <v>250</v>
      </c>
      <c r="E249" s="148"/>
      <c r="F249" s="149"/>
      <c r="G249" s="143">
        <f>G250</f>
        <v>2316.3999999999996</v>
      </c>
      <c r="H249" s="307">
        <f>H250</f>
        <v>0</v>
      </c>
      <c r="I249" s="81"/>
    </row>
    <row r="250" spans="1:9" s="48" customFormat="1" ht="30">
      <c r="A250" s="282" t="s">
        <v>338</v>
      </c>
      <c r="B250" s="260" t="s">
        <v>195</v>
      </c>
      <c r="C250" s="148" t="s">
        <v>186</v>
      </c>
      <c r="D250" s="149" t="s">
        <v>250</v>
      </c>
      <c r="E250" s="148" t="s">
        <v>339</v>
      </c>
      <c r="F250" s="149"/>
      <c r="G250" s="143">
        <f>'Прилож №5'!H295+'Прилож №5'!H168+'Прилож №5'!H361</f>
        <v>2316.3999999999996</v>
      </c>
      <c r="H250" s="307"/>
      <c r="I250" s="81"/>
    </row>
    <row r="251" spans="1:9" s="48" customFormat="1" ht="29.25">
      <c r="A251" s="276" t="s">
        <v>113</v>
      </c>
      <c r="B251" s="299" t="s">
        <v>195</v>
      </c>
      <c r="C251" s="162" t="s">
        <v>205</v>
      </c>
      <c r="D251" s="166" t="s">
        <v>47</v>
      </c>
      <c r="E251" s="162" t="s">
        <v>49</v>
      </c>
      <c r="F251" s="166"/>
      <c r="G251" s="167">
        <f>G252+G255</f>
        <v>6780.5</v>
      </c>
      <c r="H251" s="317">
        <f>H252+H255</f>
        <v>0</v>
      </c>
      <c r="I251" s="81"/>
    </row>
    <row r="252" spans="1:9" s="48" customFormat="1" ht="18" customHeight="1">
      <c r="A252" s="282" t="s">
        <v>147</v>
      </c>
      <c r="B252" s="260" t="s">
        <v>195</v>
      </c>
      <c r="C252" s="141" t="s">
        <v>205</v>
      </c>
      <c r="D252" s="142" t="s">
        <v>273</v>
      </c>
      <c r="E252" s="141"/>
      <c r="F252" s="149"/>
      <c r="G252" s="150">
        <f>G253</f>
        <v>3873.6</v>
      </c>
      <c r="H252" s="312">
        <f>H253</f>
        <v>0</v>
      </c>
      <c r="I252" s="81"/>
    </row>
    <row r="253" spans="1:9" s="48" customFormat="1" ht="15.75">
      <c r="A253" s="284" t="s">
        <v>50</v>
      </c>
      <c r="B253" s="260" t="s">
        <v>195</v>
      </c>
      <c r="C253" s="141" t="s">
        <v>205</v>
      </c>
      <c r="D253" s="142" t="s">
        <v>275</v>
      </c>
      <c r="E253" s="141"/>
      <c r="F253" s="149"/>
      <c r="G253" s="150">
        <f>G254</f>
        <v>3873.6</v>
      </c>
      <c r="H253" s="312">
        <f>H254</f>
        <v>0</v>
      </c>
      <c r="I253" s="81"/>
    </row>
    <row r="254" spans="1:9" s="48" customFormat="1" ht="15.75">
      <c r="A254" s="284" t="s">
        <v>146</v>
      </c>
      <c r="B254" s="260" t="s">
        <v>195</v>
      </c>
      <c r="C254" s="141" t="s">
        <v>205</v>
      </c>
      <c r="D254" s="142" t="s">
        <v>275</v>
      </c>
      <c r="E254" s="141" t="s">
        <v>274</v>
      </c>
      <c r="F254" s="149"/>
      <c r="G254" s="150">
        <f>'Прилож №5'!H299</f>
        <v>3873.6</v>
      </c>
      <c r="H254" s="312">
        <f>'Прилож №5'!I299</f>
        <v>0</v>
      </c>
      <c r="I254" s="81"/>
    </row>
    <row r="255" spans="1:9" s="48" customFormat="1" ht="60">
      <c r="A255" s="270" t="s">
        <v>111</v>
      </c>
      <c r="B255" s="260" t="s">
        <v>195</v>
      </c>
      <c r="C255" s="141" t="s">
        <v>205</v>
      </c>
      <c r="D255" s="142" t="s">
        <v>40</v>
      </c>
      <c r="E255" s="141"/>
      <c r="F255" s="142"/>
      <c r="G255" s="143">
        <f>G256</f>
        <v>2906.9</v>
      </c>
      <c r="H255" s="307">
        <f>H256</f>
        <v>0</v>
      </c>
      <c r="I255" s="81"/>
    </row>
    <row r="256" spans="1:9" s="48" customFormat="1" ht="15.75">
      <c r="A256" s="281" t="s">
        <v>27</v>
      </c>
      <c r="B256" s="260" t="s">
        <v>195</v>
      </c>
      <c r="C256" s="141" t="s">
        <v>205</v>
      </c>
      <c r="D256" s="142" t="s">
        <v>218</v>
      </c>
      <c r="E256" s="141"/>
      <c r="F256" s="142"/>
      <c r="G256" s="143">
        <f>G257</f>
        <v>2906.9</v>
      </c>
      <c r="H256" s="307">
        <f>H257</f>
        <v>0</v>
      </c>
      <c r="I256" s="81"/>
    </row>
    <row r="257" spans="1:9" s="48" customFormat="1" ht="16.5" thickBot="1">
      <c r="A257" s="283" t="s">
        <v>172</v>
      </c>
      <c r="B257" s="260" t="s">
        <v>195</v>
      </c>
      <c r="C257" s="141" t="s">
        <v>205</v>
      </c>
      <c r="D257" s="142" t="s">
        <v>218</v>
      </c>
      <c r="E257" s="141" t="s">
        <v>86</v>
      </c>
      <c r="F257" s="142"/>
      <c r="G257" s="143">
        <f>'Прилож №5'!H302</f>
        <v>2906.9</v>
      </c>
      <c r="H257" s="318">
        <f>'Прилож №5'!I302</f>
        <v>0</v>
      </c>
      <c r="I257" s="81"/>
    </row>
    <row r="258" spans="1:9" s="48" customFormat="1" ht="16.5" thickBot="1">
      <c r="A258" s="278" t="s">
        <v>227</v>
      </c>
      <c r="B258" s="293" t="s">
        <v>192</v>
      </c>
      <c r="C258" s="151" t="s">
        <v>126</v>
      </c>
      <c r="D258" s="152"/>
      <c r="E258" s="151"/>
      <c r="F258" s="163"/>
      <c r="G258" s="153">
        <f>G259+G287+G301+G271+G276+G280</f>
        <v>711114.8999999999</v>
      </c>
      <c r="H258" s="310">
        <f>H259+H287+H301+H271+H276+H280</f>
        <v>34114</v>
      </c>
      <c r="I258" s="81"/>
    </row>
    <row r="259" spans="1:9" s="48" customFormat="1" ht="16.5" thickBot="1">
      <c r="A259" s="278" t="s">
        <v>228</v>
      </c>
      <c r="B259" s="293" t="s">
        <v>192</v>
      </c>
      <c r="C259" s="151" t="s">
        <v>186</v>
      </c>
      <c r="D259" s="152"/>
      <c r="E259" s="151"/>
      <c r="F259" s="152"/>
      <c r="G259" s="153">
        <f>G260+G264+G268</f>
        <v>313614.1</v>
      </c>
      <c r="H259" s="310">
        <f>H260+H264+H268</f>
        <v>22312</v>
      </c>
      <c r="I259" s="81"/>
    </row>
    <row r="260" spans="1:9" s="48" customFormat="1" ht="30">
      <c r="A260" s="275" t="s">
        <v>206</v>
      </c>
      <c r="B260" s="259" t="s">
        <v>192</v>
      </c>
      <c r="C260" s="159" t="s">
        <v>186</v>
      </c>
      <c r="D260" s="160" t="s">
        <v>71</v>
      </c>
      <c r="E260" s="159"/>
      <c r="F260" s="191"/>
      <c r="G260" s="168">
        <f aca="true" t="shared" si="9" ref="G260:H262">G261</f>
        <v>81759.7</v>
      </c>
      <c r="H260" s="319">
        <f t="shared" si="9"/>
        <v>20634</v>
      </c>
      <c r="I260" s="81"/>
    </row>
    <row r="261" spans="1:9" s="48" customFormat="1" ht="57.75" customHeight="1">
      <c r="A261" s="275" t="s">
        <v>207</v>
      </c>
      <c r="B261" s="260" t="s">
        <v>192</v>
      </c>
      <c r="C261" s="159" t="s">
        <v>186</v>
      </c>
      <c r="D261" s="160" t="s">
        <v>208</v>
      </c>
      <c r="E261" s="159"/>
      <c r="F261" s="139"/>
      <c r="G261" s="161">
        <f t="shared" si="9"/>
        <v>81759.7</v>
      </c>
      <c r="H261" s="313">
        <f t="shared" si="9"/>
        <v>20634</v>
      </c>
      <c r="I261" s="81"/>
    </row>
    <row r="262" spans="1:9" s="48" customFormat="1" ht="33" customHeight="1">
      <c r="A262" s="275" t="s">
        <v>242</v>
      </c>
      <c r="B262" s="259" t="s">
        <v>192</v>
      </c>
      <c r="C262" s="159" t="s">
        <v>186</v>
      </c>
      <c r="D262" s="160" t="s">
        <v>243</v>
      </c>
      <c r="E262" s="159"/>
      <c r="F262" s="139"/>
      <c r="G262" s="161">
        <f t="shared" si="9"/>
        <v>81759.7</v>
      </c>
      <c r="H262" s="313">
        <f t="shared" si="9"/>
        <v>20634</v>
      </c>
      <c r="I262" s="81"/>
    </row>
    <row r="263" spans="1:9" s="48" customFormat="1" ht="15.75">
      <c r="A263" s="275" t="s">
        <v>209</v>
      </c>
      <c r="B263" s="259" t="s">
        <v>192</v>
      </c>
      <c r="C263" s="159" t="s">
        <v>186</v>
      </c>
      <c r="D263" s="160" t="s">
        <v>243</v>
      </c>
      <c r="E263" s="159" t="s">
        <v>67</v>
      </c>
      <c r="F263" s="139"/>
      <c r="G263" s="161">
        <f>'Прилож №5'!H174+'Прилож №5'!H178</f>
        <v>81759.7</v>
      </c>
      <c r="H263" s="313">
        <f>'Прилож №5'!I174+'Прилож №5'!I178</f>
        <v>20634</v>
      </c>
      <c r="I263" s="81"/>
    </row>
    <row r="264" spans="1:9" s="48" customFormat="1" ht="15.75">
      <c r="A264" s="281" t="s">
        <v>41</v>
      </c>
      <c r="B264" s="296" t="s">
        <v>192</v>
      </c>
      <c r="C264" s="159" t="s">
        <v>186</v>
      </c>
      <c r="D264" s="142" t="s">
        <v>42</v>
      </c>
      <c r="E264" s="141"/>
      <c r="F264" s="142"/>
      <c r="G264" s="143">
        <f>G265</f>
        <v>210563.4</v>
      </c>
      <c r="H264" s="307">
        <f>H265</f>
        <v>1078</v>
      </c>
      <c r="I264" s="81"/>
    </row>
    <row r="265" spans="1:9" s="48" customFormat="1" ht="15.75">
      <c r="A265" s="283" t="s">
        <v>27</v>
      </c>
      <c r="B265" s="296" t="s">
        <v>192</v>
      </c>
      <c r="C265" s="159" t="s">
        <v>186</v>
      </c>
      <c r="D265" s="142" t="s">
        <v>229</v>
      </c>
      <c r="E265" s="141"/>
      <c r="F265" s="142"/>
      <c r="G265" s="143">
        <f>G266+G267</f>
        <v>210563.4</v>
      </c>
      <c r="H265" s="307">
        <f>H266+H267</f>
        <v>1078</v>
      </c>
      <c r="I265" s="81"/>
    </row>
    <row r="266" spans="1:9" s="48" customFormat="1" ht="15.75">
      <c r="A266" s="283" t="s">
        <v>172</v>
      </c>
      <c r="B266" s="296" t="s">
        <v>192</v>
      </c>
      <c r="C266" s="159" t="s">
        <v>186</v>
      </c>
      <c r="D266" s="142" t="s">
        <v>229</v>
      </c>
      <c r="E266" s="141" t="s">
        <v>86</v>
      </c>
      <c r="F266" s="142"/>
      <c r="G266" s="143">
        <f>'Прилож №5'!H308</f>
        <v>210485.4</v>
      </c>
      <c r="H266" s="307">
        <f>'Прилож №5'!I308</f>
        <v>1000</v>
      </c>
      <c r="I266" s="81"/>
    </row>
    <row r="267" spans="1:9" s="48" customFormat="1" ht="15.75">
      <c r="A267" s="283" t="s">
        <v>172</v>
      </c>
      <c r="B267" s="296" t="s">
        <v>192</v>
      </c>
      <c r="C267" s="159" t="s">
        <v>186</v>
      </c>
      <c r="D267" s="142" t="s">
        <v>406</v>
      </c>
      <c r="E267" s="141" t="s">
        <v>86</v>
      </c>
      <c r="F267" s="142"/>
      <c r="G267" s="143">
        <f>'Прилож №5'!H309</f>
        <v>78</v>
      </c>
      <c r="H267" s="307">
        <f>'Прилож №5'!I309</f>
        <v>78</v>
      </c>
      <c r="I267" s="81"/>
    </row>
    <row r="268" spans="1:9" s="48" customFormat="1" ht="15.75">
      <c r="A268" s="26" t="s">
        <v>320</v>
      </c>
      <c r="B268" s="296" t="s">
        <v>192</v>
      </c>
      <c r="C268" s="159" t="s">
        <v>186</v>
      </c>
      <c r="D268" s="30" t="s">
        <v>321</v>
      </c>
      <c r="E268" s="141"/>
      <c r="F268" s="142"/>
      <c r="G268" s="143">
        <f>G269</f>
        <v>21291</v>
      </c>
      <c r="H268" s="307">
        <f>H269</f>
        <v>600</v>
      </c>
      <c r="I268" s="81"/>
    </row>
    <row r="269" spans="1:9" s="48" customFormat="1" ht="15.75">
      <c r="A269" s="26" t="s">
        <v>27</v>
      </c>
      <c r="B269" s="296" t="s">
        <v>192</v>
      </c>
      <c r="C269" s="159" t="s">
        <v>186</v>
      </c>
      <c r="D269" s="30" t="s">
        <v>322</v>
      </c>
      <c r="E269" s="141"/>
      <c r="F269" s="142"/>
      <c r="G269" s="143">
        <f>G270</f>
        <v>21291</v>
      </c>
      <c r="H269" s="307">
        <f>H270</f>
        <v>600</v>
      </c>
      <c r="I269" s="81"/>
    </row>
    <row r="270" spans="1:9" s="48" customFormat="1" ht="15.75">
      <c r="A270" s="26" t="s">
        <v>172</v>
      </c>
      <c r="B270" s="296" t="s">
        <v>192</v>
      </c>
      <c r="C270" s="159" t="s">
        <v>186</v>
      </c>
      <c r="D270" s="30" t="s">
        <v>322</v>
      </c>
      <c r="E270" s="141" t="s">
        <v>86</v>
      </c>
      <c r="F270" s="142"/>
      <c r="G270" s="143">
        <f>'Прилож №5'!H312</f>
        <v>21291</v>
      </c>
      <c r="H270" s="307">
        <f>'Прилож №5'!I312</f>
        <v>600</v>
      </c>
      <c r="I270" s="81"/>
    </row>
    <row r="271" spans="1:9" s="23" customFormat="1" ht="15.75">
      <c r="A271" s="108" t="s">
        <v>323</v>
      </c>
      <c r="B271" s="298" t="s">
        <v>192</v>
      </c>
      <c r="C271" s="164" t="s">
        <v>187</v>
      </c>
      <c r="D271" s="107"/>
      <c r="E271" s="144"/>
      <c r="F271" s="145"/>
      <c r="G271" s="146">
        <f>G272</f>
        <v>276929.1</v>
      </c>
      <c r="H271" s="308">
        <f>H272</f>
        <v>9419</v>
      </c>
      <c r="I271" s="111"/>
    </row>
    <row r="272" spans="1:9" s="48" customFormat="1" ht="15.75">
      <c r="A272" s="26" t="s">
        <v>324</v>
      </c>
      <c r="B272" s="296" t="s">
        <v>192</v>
      </c>
      <c r="C272" s="159" t="s">
        <v>187</v>
      </c>
      <c r="D272" s="30" t="s">
        <v>325</v>
      </c>
      <c r="E272" s="141"/>
      <c r="F272" s="142"/>
      <c r="G272" s="143">
        <f>G273</f>
        <v>276929.1</v>
      </c>
      <c r="H272" s="307">
        <f>H273</f>
        <v>9419</v>
      </c>
      <c r="I272" s="81"/>
    </row>
    <row r="273" spans="1:9" s="48" customFormat="1" ht="15.75">
      <c r="A273" s="26" t="s">
        <v>27</v>
      </c>
      <c r="B273" s="296" t="s">
        <v>192</v>
      </c>
      <c r="C273" s="159" t="s">
        <v>187</v>
      </c>
      <c r="D273" s="30" t="s">
        <v>326</v>
      </c>
      <c r="E273" s="141"/>
      <c r="F273" s="142"/>
      <c r="G273" s="143">
        <f>G274+G275</f>
        <v>276929.1</v>
      </c>
      <c r="H273" s="307">
        <f>H274+H275</f>
        <v>9419</v>
      </c>
      <c r="I273" s="81"/>
    </row>
    <row r="274" spans="1:9" s="48" customFormat="1" ht="15.75">
      <c r="A274" s="26" t="s">
        <v>172</v>
      </c>
      <c r="B274" s="296" t="s">
        <v>192</v>
      </c>
      <c r="C274" s="159" t="s">
        <v>187</v>
      </c>
      <c r="D274" s="30" t="s">
        <v>326</v>
      </c>
      <c r="E274" s="141" t="s">
        <v>86</v>
      </c>
      <c r="F274" s="142"/>
      <c r="G274" s="143">
        <f>'Прилож №5'!H316</f>
        <v>269710.1</v>
      </c>
      <c r="H274" s="307">
        <f>'Прилож №5'!I316</f>
        <v>2200</v>
      </c>
      <c r="I274" s="81"/>
    </row>
    <row r="275" spans="1:9" s="48" customFormat="1" ht="15.75">
      <c r="A275" s="26" t="s">
        <v>172</v>
      </c>
      <c r="B275" s="296" t="s">
        <v>192</v>
      </c>
      <c r="C275" s="159" t="s">
        <v>187</v>
      </c>
      <c r="D275" s="30" t="s">
        <v>405</v>
      </c>
      <c r="E275" s="141" t="s">
        <v>86</v>
      </c>
      <c r="F275" s="142"/>
      <c r="G275" s="143">
        <f>'Прилож №5'!H317</f>
        <v>7219</v>
      </c>
      <c r="H275" s="307">
        <f>'Прилож №5'!I317</f>
        <v>7219</v>
      </c>
      <c r="I275" s="81"/>
    </row>
    <row r="276" spans="1:9" s="23" customFormat="1" ht="15.75">
      <c r="A276" s="108" t="s">
        <v>327</v>
      </c>
      <c r="B276" s="298" t="s">
        <v>192</v>
      </c>
      <c r="C276" s="164" t="s">
        <v>191</v>
      </c>
      <c r="D276" s="107"/>
      <c r="E276" s="144"/>
      <c r="F276" s="145"/>
      <c r="G276" s="146">
        <f aca="true" t="shared" si="10" ref="G276:H278">G277</f>
        <v>5398.5</v>
      </c>
      <c r="H276" s="308">
        <f t="shared" si="10"/>
        <v>0</v>
      </c>
      <c r="I276" s="111"/>
    </row>
    <row r="277" spans="1:9" s="48" customFormat="1" ht="15.75">
      <c r="A277" s="25" t="s">
        <v>41</v>
      </c>
      <c r="B277" s="296" t="s">
        <v>192</v>
      </c>
      <c r="C277" s="159" t="s">
        <v>191</v>
      </c>
      <c r="D277" s="30" t="s">
        <v>42</v>
      </c>
      <c r="E277" s="141"/>
      <c r="F277" s="142"/>
      <c r="G277" s="143">
        <f t="shared" si="10"/>
        <v>5398.5</v>
      </c>
      <c r="H277" s="307">
        <f t="shared" si="10"/>
        <v>0</v>
      </c>
      <c r="I277" s="81"/>
    </row>
    <row r="278" spans="1:9" s="48" customFormat="1" ht="15.75">
      <c r="A278" s="26" t="s">
        <v>27</v>
      </c>
      <c r="B278" s="296" t="s">
        <v>192</v>
      </c>
      <c r="C278" s="159" t="s">
        <v>191</v>
      </c>
      <c r="D278" s="30" t="s">
        <v>229</v>
      </c>
      <c r="E278" s="141"/>
      <c r="F278" s="142"/>
      <c r="G278" s="143">
        <f t="shared" si="10"/>
        <v>5398.5</v>
      </c>
      <c r="H278" s="307">
        <f t="shared" si="10"/>
        <v>0</v>
      </c>
      <c r="I278" s="81"/>
    </row>
    <row r="279" spans="1:9" s="48" customFormat="1" ht="15.75">
      <c r="A279" s="26" t="s">
        <v>172</v>
      </c>
      <c r="B279" s="296" t="s">
        <v>192</v>
      </c>
      <c r="C279" s="159" t="s">
        <v>191</v>
      </c>
      <c r="D279" s="30" t="s">
        <v>229</v>
      </c>
      <c r="E279" s="141" t="s">
        <v>86</v>
      </c>
      <c r="F279" s="142"/>
      <c r="G279" s="143">
        <f>'Прилож №5'!H321</f>
        <v>5398.5</v>
      </c>
      <c r="H279" s="307">
        <f>'Прилож №5'!I321</f>
        <v>0</v>
      </c>
      <c r="I279" s="81"/>
    </row>
    <row r="280" spans="1:9" s="23" customFormat="1" ht="15.75">
      <c r="A280" s="108" t="s">
        <v>328</v>
      </c>
      <c r="B280" s="298" t="s">
        <v>192</v>
      </c>
      <c r="C280" s="164" t="s">
        <v>188</v>
      </c>
      <c r="D280" s="107"/>
      <c r="E280" s="144"/>
      <c r="F280" s="145"/>
      <c r="G280" s="146">
        <f>G281+G284</f>
        <v>43580.09999999999</v>
      </c>
      <c r="H280" s="146">
        <f>H281+H284</f>
        <v>2383</v>
      </c>
      <c r="I280" s="111"/>
    </row>
    <row r="281" spans="1:9" s="48" customFormat="1" ht="15.75">
      <c r="A281" s="26" t="s">
        <v>329</v>
      </c>
      <c r="B281" s="296" t="s">
        <v>192</v>
      </c>
      <c r="C281" s="159" t="s">
        <v>188</v>
      </c>
      <c r="D281" s="30" t="s">
        <v>330</v>
      </c>
      <c r="E281" s="141"/>
      <c r="F281" s="142"/>
      <c r="G281" s="143">
        <f>G282</f>
        <v>40627.899999999994</v>
      </c>
      <c r="H281" s="307">
        <f>H282</f>
        <v>0</v>
      </c>
      <c r="I281" s="81"/>
    </row>
    <row r="282" spans="1:9" s="48" customFormat="1" ht="15.75">
      <c r="A282" s="26" t="s">
        <v>27</v>
      </c>
      <c r="B282" s="296" t="s">
        <v>192</v>
      </c>
      <c r="C282" s="159" t="s">
        <v>188</v>
      </c>
      <c r="D282" s="30" t="s">
        <v>331</v>
      </c>
      <c r="E282" s="141"/>
      <c r="F282" s="142"/>
      <c r="G282" s="143">
        <f>G283</f>
        <v>40627.899999999994</v>
      </c>
      <c r="H282" s="307">
        <f>H283</f>
        <v>0</v>
      </c>
      <c r="I282" s="81"/>
    </row>
    <row r="283" spans="1:9" s="48" customFormat="1" ht="15.75">
      <c r="A283" s="26" t="s">
        <v>172</v>
      </c>
      <c r="B283" s="296" t="s">
        <v>192</v>
      </c>
      <c r="C283" s="159" t="s">
        <v>188</v>
      </c>
      <c r="D283" s="30" t="s">
        <v>331</v>
      </c>
      <c r="E283" s="141" t="s">
        <v>86</v>
      </c>
      <c r="F283" s="142"/>
      <c r="G283" s="143">
        <f>'Прилож №5'!H325</f>
        <v>40627.899999999994</v>
      </c>
      <c r="H283" s="307"/>
      <c r="I283" s="81"/>
    </row>
    <row r="284" spans="1:9" s="48" customFormat="1" ht="15.75">
      <c r="A284" s="26" t="s">
        <v>125</v>
      </c>
      <c r="B284" s="296" t="s">
        <v>192</v>
      </c>
      <c r="C284" s="159" t="s">
        <v>188</v>
      </c>
      <c r="D284" s="30" t="s">
        <v>95</v>
      </c>
      <c r="E284" s="141"/>
      <c r="F284" s="142"/>
      <c r="G284" s="143">
        <f>G285</f>
        <v>2952.2</v>
      </c>
      <c r="H284" s="307">
        <f>H285</f>
        <v>2383</v>
      </c>
      <c r="I284" s="81"/>
    </row>
    <row r="285" spans="1:9" s="48" customFormat="1" ht="39">
      <c r="A285" s="46" t="s">
        <v>332</v>
      </c>
      <c r="B285" s="296" t="s">
        <v>192</v>
      </c>
      <c r="C285" s="159" t="s">
        <v>188</v>
      </c>
      <c r="D285" s="30" t="s">
        <v>276</v>
      </c>
      <c r="E285" s="141"/>
      <c r="F285" s="142"/>
      <c r="G285" s="143">
        <f>G286</f>
        <v>2952.2</v>
      </c>
      <c r="H285" s="307">
        <f>H286</f>
        <v>2383</v>
      </c>
      <c r="I285" s="81"/>
    </row>
    <row r="286" spans="1:9" s="48" customFormat="1" ht="15.75">
      <c r="A286" s="26" t="s">
        <v>172</v>
      </c>
      <c r="B286" s="296" t="s">
        <v>192</v>
      </c>
      <c r="C286" s="159" t="s">
        <v>188</v>
      </c>
      <c r="D286" s="30" t="s">
        <v>276</v>
      </c>
      <c r="E286" s="141" t="s">
        <v>86</v>
      </c>
      <c r="F286" s="142"/>
      <c r="G286" s="143">
        <f>'Прилож №5'!H328</f>
        <v>2952.2</v>
      </c>
      <c r="H286" s="307">
        <f>'Прилож №5'!I328</f>
        <v>2383</v>
      </c>
      <c r="I286" s="81"/>
    </row>
    <row r="287" spans="1:9" s="23" customFormat="1" ht="15.75">
      <c r="A287" s="277" t="s">
        <v>230</v>
      </c>
      <c r="B287" s="298" t="s">
        <v>192</v>
      </c>
      <c r="C287" s="144" t="s">
        <v>195</v>
      </c>
      <c r="D287" s="145"/>
      <c r="E287" s="144"/>
      <c r="F287" s="145"/>
      <c r="G287" s="146">
        <f>G292+G288+G298+G295</f>
        <v>62099.6</v>
      </c>
      <c r="H287" s="308">
        <f>H292+H288+H298</f>
        <v>0</v>
      </c>
      <c r="I287" s="111"/>
    </row>
    <row r="288" spans="1:9" s="48" customFormat="1" ht="30">
      <c r="A288" s="275" t="s">
        <v>206</v>
      </c>
      <c r="B288" s="259" t="s">
        <v>192</v>
      </c>
      <c r="C288" s="159" t="s">
        <v>195</v>
      </c>
      <c r="D288" s="160" t="s">
        <v>71</v>
      </c>
      <c r="E288" s="159"/>
      <c r="F288" s="142"/>
      <c r="G288" s="143">
        <f aca="true" t="shared" si="11" ref="G288:H290">G289</f>
        <v>50000</v>
      </c>
      <c r="H288" s="307">
        <f t="shared" si="11"/>
        <v>0</v>
      </c>
      <c r="I288" s="81"/>
    </row>
    <row r="289" spans="1:9" s="48" customFormat="1" ht="36.75" customHeight="1">
      <c r="A289" s="275" t="s">
        <v>272</v>
      </c>
      <c r="B289" s="259" t="s">
        <v>192</v>
      </c>
      <c r="C289" s="159" t="s">
        <v>195</v>
      </c>
      <c r="D289" s="160" t="s">
        <v>208</v>
      </c>
      <c r="E289" s="159"/>
      <c r="F289" s="142"/>
      <c r="G289" s="143">
        <f t="shared" si="11"/>
        <v>50000</v>
      </c>
      <c r="H289" s="307">
        <f t="shared" si="11"/>
        <v>0</v>
      </c>
      <c r="I289" s="81"/>
    </row>
    <row r="290" spans="1:9" s="48" customFormat="1" ht="32.25" customHeight="1">
      <c r="A290" s="275" t="s">
        <v>242</v>
      </c>
      <c r="B290" s="259" t="s">
        <v>192</v>
      </c>
      <c r="C290" s="159" t="s">
        <v>195</v>
      </c>
      <c r="D290" s="160" t="s">
        <v>243</v>
      </c>
      <c r="E290" s="159"/>
      <c r="F290" s="142"/>
      <c r="G290" s="143">
        <f t="shared" si="11"/>
        <v>50000</v>
      </c>
      <c r="H290" s="307">
        <f t="shared" si="11"/>
        <v>0</v>
      </c>
      <c r="I290" s="81"/>
    </row>
    <row r="291" spans="1:9" s="48" customFormat="1" ht="15.75">
      <c r="A291" s="275" t="s">
        <v>209</v>
      </c>
      <c r="B291" s="259" t="s">
        <v>192</v>
      </c>
      <c r="C291" s="159" t="s">
        <v>195</v>
      </c>
      <c r="D291" s="160" t="s">
        <v>243</v>
      </c>
      <c r="E291" s="159" t="s">
        <v>67</v>
      </c>
      <c r="F291" s="142"/>
      <c r="G291" s="143">
        <f>'Прилож №5'!H183</f>
        <v>50000</v>
      </c>
      <c r="H291" s="307">
        <f>'Прилож №5'!I183</f>
        <v>0</v>
      </c>
      <c r="I291" s="81"/>
    </row>
    <row r="292" spans="1:9" s="48" customFormat="1" ht="15.75">
      <c r="A292" s="281" t="s">
        <v>78</v>
      </c>
      <c r="B292" s="296" t="s">
        <v>192</v>
      </c>
      <c r="C292" s="141" t="s">
        <v>195</v>
      </c>
      <c r="D292" s="149" t="s">
        <v>79</v>
      </c>
      <c r="E292" s="148"/>
      <c r="F292" s="142"/>
      <c r="G292" s="143">
        <f>G293</f>
        <v>9485.5</v>
      </c>
      <c r="H292" s="307">
        <f>H293</f>
        <v>0</v>
      </c>
      <c r="I292" s="81"/>
    </row>
    <row r="293" spans="1:9" s="48" customFormat="1" ht="15.75">
      <c r="A293" s="283" t="s">
        <v>27</v>
      </c>
      <c r="B293" s="296" t="s">
        <v>192</v>
      </c>
      <c r="C293" s="141" t="s">
        <v>195</v>
      </c>
      <c r="D293" s="149" t="s">
        <v>231</v>
      </c>
      <c r="E293" s="148"/>
      <c r="F293" s="142"/>
      <c r="G293" s="143">
        <f>G294</f>
        <v>9485.5</v>
      </c>
      <c r="H293" s="307">
        <f>H294</f>
        <v>0</v>
      </c>
      <c r="I293" s="81"/>
    </row>
    <row r="294" spans="1:9" s="48" customFormat="1" ht="15.75">
      <c r="A294" s="283" t="s">
        <v>172</v>
      </c>
      <c r="B294" s="296" t="s">
        <v>192</v>
      </c>
      <c r="C294" s="141" t="s">
        <v>195</v>
      </c>
      <c r="D294" s="149" t="s">
        <v>231</v>
      </c>
      <c r="E294" s="148" t="s">
        <v>86</v>
      </c>
      <c r="F294" s="142"/>
      <c r="G294" s="143">
        <f>'Прилож №5'!H387</f>
        <v>9485.5</v>
      </c>
      <c r="H294" s="307">
        <f>'Прилож №5'!I387</f>
        <v>0</v>
      </c>
      <c r="I294" s="81"/>
    </row>
    <row r="295" spans="1:9" s="48" customFormat="1" ht="15.75">
      <c r="A295" s="288" t="s">
        <v>400</v>
      </c>
      <c r="B295" s="300" t="s">
        <v>192</v>
      </c>
      <c r="C295" s="225" t="s">
        <v>195</v>
      </c>
      <c r="D295" s="224" t="s">
        <v>401</v>
      </c>
      <c r="E295" s="228"/>
      <c r="F295" s="226"/>
      <c r="G295" s="227">
        <f>G296</f>
        <v>580.2</v>
      </c>
      <c r="H295" s="320"/>
      <c r="I295" s="81"/>
    </row>
    <row r="296" spans="1:9" s="48" customFormat="1" ht="15.75">
      <c r="A296" s="288" t="s">
        <v>402</v>
      </c>
      <c r="B296" s="300" t="s">
        <v>192</v>
      </c>
      <c r="C296" s="225" t="s">
        <v>195</v>
      </c>
      <c r="D296" s="224" t="s">
        <v>403</v>
      </c>
      <c r="E296" s="225"/>
      <c r="F296" s="226"/>
      <c r="G296" s="227">
        <f>G297</f>
        <v>580.2</v>
      </c>
      <c r="H296" s="320"/>
      <c r="I296" s="81"/>
    </row>
    <row r="297" spans="1:9" s="48" customFormat="1" ht="15.75">
      <c r="A297" s="289" t="s">
        <v>172</v>
      </c>
      <c r="B297" s="300" t="s">
        <v>192</v>
      </c>
      <c r="C297" s="225" t="s">
        <v>195</v>
      </c>
      <c r="D297" s="245" t="s">
        <v>403</v>
      </c>
      <c r="E297" s="228" t="s">
        <v>86</v>
      </c>
      <c r="F297" s="226"/>
      <c r="G297" s="227">
        <f>'Прилож №5'!H384</f>
        <v>580.2</v>
      </c>
      <c r="H297" s="320"/>
      <c r="I297" s="81"/>
    </row>
    <row r="298" spans="1:9" s="48" customFormat="1" ht="15.75">
      <c r="A298" s="281" t="s">
        <v>131</v>
      </c>
      <c r="B298" s="296" t="s">
        <v>192</v>
      </c>
      <c r="C298" s="141" t="s">
        <v>195</v>
      </c>
      <c r="D298" s="149" t="s">
        <v>132</v>
      </c>
      <c r="E298" s="148"/>
      <c r="F298" s="142"/>
      <c r="G298" s="143">
        <f>G299</f>
        <v>2033.9</v>
      </c>
      <c r="H298" s="307"/>
      <c r="I298" s="81"/>
    </row>
    <row r="299" spans="1:9" s="48" customFormat="1" ht="30">
      <c r="A299" s="282" t="s">
        <v>354</v>
      </c>
      <c r="B299" s="296" t="s">
        <v>192</v>
      </c>
      <c r="C299" s="141" t="s">
        <v>195</v>
      </c>
      <c r="D299" s="149" t="s">
        <v>256</v>
      </c>
      <c r="E299" s="148"/>
      <c r="F299" s="142"/>
      <c r="G299" s="143">
        <f>G300</f>
        <v>2033.9</v>
      </c>
      <c r="H299" s="307"/>
      <c r="I299" s="81"/>
    </row>
    <row r="300" spans="1:9" s="48" customFormat="1" ht="15.75">
      <c r="A300" s="284" t="s">
        <v>146</v>
      </c>
      <c r="B300" s="296" t="s">
        <v>192</v>
      </c>
      <c r="C300" s="141" t="s">
        <v>195</v>
      </c>
      <c r="D300" s="149" t="s">
        <v>256</v>
      </c>
      <c r="E300" s="148" t="s">
        <v>274</v>
      </c>
      <c r="F300" s="142"/>
      <c r="G300" s="143">
        <f>'Прилож №5'!H390</f>
        <v>2033.9</v>
      </c>
      <c r="H300" s="307"/>
      <c r="I300" s="81"/>
    </row>
    <row r="301" spans="1:9" s="48" customFormat="1" ht="29.25">
      <c r="A301" s="276" t="s">
        <v>232</v>
      </c>
      <c r="B301" s="296" t="s">
        <v>192</v>
      </c>
      <c r="C301" s="144" t="s">
        <v>193</v>
      </c>
      <c r="D301" s="166"/>
      <c r="E301" s="162"/>
      <c r="F301" s="145"/>
      <c r="G301" s="146">
        <f>G302+G305</f>
        <v>9493.5</v>
      </c>
      <c r="H301" s="308">
        <f aca="true" t="shared" si="12" ref="G301:H303">H302</f>
        <v>0</v>
      </c>
      <c r="I301" s="81"/>
    </row>
    <row r="302" spans="1:9" s="48" customFormat="1" ht="18" customHeight="1">
      <c r="A302" s="282" t="s">
        <v>147</v>
      </c>
      <c r="B302" s="260" t="s">
        <v>192</v>
      </c>
      <c r="C302" s="141" t="s">
        <v>193</v>
      </c>
      <c r="D302" s="142" t="s">
        <v>273</v>
      </c>
      <c r="E302" s="141"/>
      <c r="F302" s="142"/>
      <c r="G302" s="143">
        <f t="shared" si="12"/>
        <v>8808.1</v>
      </c>
      <c r="H302" s="307">
        <f t="shared" si="12"/>
        <v>0</v>
      </c>
      <c r="I302" s="81"/>
    </row>
    <row r="303" spans="1:9" s="48" customFormat="1" ht="15.75">
      <c r="A303" s="284" t="s">
        <v>50</v>
      </c>
      <c r="B303" s="260" t="s">
        <v>192</v>
      </c>
      <c r="C303" s="141" t="s">
        <v>193</v>
      </c>
      <c r="D303" s="142" t="s">
        <v>275</v>
      </c>
      <c r="E303" s="141"/>
      <c r="F303" s="142"/>
      <c r="G303" s="143">
        <f t="shared" si="12"/>
        <v>8808.1</v>
      </c>
      <c r="H303" s="307">
        <f t="shared" si="12"/>
        <v>0</v>
      </c>
      <c r="I303" s="81"/>
    </row>
    <row r="304" spans="1:9" s="48" customFormat="1" ht="15.75">
      <c r="A304" s="285" t="s">
        <v>146</v>
      </c>
      <c r="B304" s="295" t="s">
        <v>192</v>
      </c>
      <c r="C304" s="148" t="s">
        <v>193</v>
      </c>
      <c r="D304" s="149" t="s">
        <v>275</v>
      </c>
      <c r="E304" s="148" t="s">
        <v>274</v>
      </c>
      <c r="F304" s="149"/>
      <c r="G304" s="150">
        <f>'Прилож №5'!H394</f>
        <v>8808.1</v>
      </c>
      <c r="H304" s="312">
        <f>'Прилож №5'!I394</f>
        <v>0</v>
      </c>
      <c r="I304" s="81"/>
    </row>
    <row r="305" spans="1:9" s="48" customFormat="1" ht="15.75">
      <c r="A305" s="25" t="s">
        <v>131</v>
      </c>
      <c r="B305" s="295" t="s">
        <v>192</v>
      </c>
      <c r="C305" s="148" t="s">
        <v>193</v>
      </c>
      <c r="D305" s="30" t="s">
        <v>132</v>
      </c>
      <c r="E305" s="141"/>
      <c r="F305" s="142"/>
      <c r="G305" s="143">
        <f>G308+G306</f>
        <v>685.3999999999999</v>
      </c>
      <c r="H305" s="307"/>
      <c r="I305" s="81"/>
    </row>
    <row r="306" spans="1:9" s="48" customFormat="1" ht="39">
      <c r="A306" s="47" t="s">
        <v>346</v>
      </c>
      <c r="B306" s="295" t="s">
        <v>192</v>
      </c>
      <c r="C306" s="148" t="s">
        <v>193</v>
      </c>
      <c r="D306" s="30" t="s">
        <v>347</v>
      </c>
      <c r="E306" s="141"/>
      <c r="F306" s="142"/>
      <c r="G306" s="143">
        <f>G307</f>
        <v>671.2</v>
      </c>
      <c r="H306" s="307"/>
      <c r="I306" s="81"/>
    </row>
    <row r="307" spans="1:9" s="48" customFormat="1" ht="15.75">
      <c r="A307" s="33" t="s">
        <v>146</v>
      </c>
      <c r="B307" s="295" t="s">
        <v>192</v>
      </c>
      <c r="C307" s="148" t="s">
        <v>193</v>
      </c>
      <c r="D307" s="30" t="s">
        <v>347</v>
      </c>
      <c r="E307" s="141" t="s">
        <v>274</v>
      </c>
      <c r="F307" s="142"/>
      <c r="G307" s="143">
        <f>'Прилож №5'!H332</f>
        <v>671.2</v>
      </c>
      <c r="H307" s="307"/>
      <c r="I307" s="81"/>
    </row>
    <row r="308" spans="1:9" s="48" customFormat="1" ht="39">
      <c r="A308" s="47" t="s">
        <v>342</v>
      </c>
      <c r="B308" s="295" t="s">
        <v>192</v>
      </c>
      <c r="C308" s="148" t="s">
        <v>193</v>
      </c>
      <c r="D308" s="30" t="s">
        <v>343</v>
      </c>
      <c r="E308" s="18"/>
      <c r="F308" s="105"/>
      <c r="G308" s="143">
        <f>G309</f>
        <v>14.199999999999818</v>
      </c>
      <c r="H308" s="307"/>
      <c r="I308" s="81"/>
    </row>
    <row r="309" spans="1:9" s="48" customFormat="1" ht="16.5" thickBot="1">
      <c r="A309" s="25" t="s">
        <v>146</v>
      </c>
      <c r="B309" s="260" t="s">
        <v>192</v>
      </c>
      <c r="C309" s="141" t="s">
        <v>193</v>
      </c>
      <c r="D309" s="30" t="s">
        <v>343</v>
      </c>
      <c r="E309" s="18" t="s">
        <v>274</v>
      </c>
      <c r="F309" s="105"/>
      <c r="G309" s="143">
        <f>'Прилож №5'!H334</f>
        <v>14.199999999999818</v>
      </c>
      <c r="H309" s="307"/>
      <c r="I309" s="81"/>
    </row>
    <row r="310" spans="1:9" s="48" customFormat="1" ht="16.5" thickBot="1">
      <c r="A310" s="278" t="s">
        <v>5</v>
      </c>
      <c r="B310" s="293" t="s">
        <v>193</v>
      </c>
      <c r="C310" s="151" t="s">
        <v>126</v>
      </c>
      <c r="D310" s="246"/>
      <c r="E310" s="244"/>
      <c r="F310" s="301" t="s">
        <v>274</v>
      </c>
      <c r="G310" s="153">
        <f>G311+G315+G344+G340</f>
        <v>85461.70000000001</v>
      </c>
      <c r="H310" s="310">
        <f>H311+H315+H344+H340</f>
        <v>63816.5</v>
      </c>
      <c r="I310" s="81"/>
    </row>
    <row r="311" spans="1:9" s="48" customFormat="1" ht="15.75">
      <c r="A311" s="147" t="s">
        <v>46</v>
      </c>
      <c r="B311" s="298" t="s">
        <v>193</v>
      </c>
      <c r="C311" s="164" t="s">
        <v>186</v>
      </c>
      <c r="D311" s="211"/>
      <c r="E311" s="212"/>
      <c r="F311" s="139"/>
      <c r="G311" s="165">
        <f aca="true" t="shared" si="13" ref="G311:H313">G312</f>
        <v>750</v>
      </c>
      <c r="H311" s="305">
        <f t="shared" si="13"/>
        <v>0</v>
      </c>
      <c r="I311" s="81"/>
    </row>
    <row r="312" spans="1:9" s="48" customFormat="1" ht="15.75">
      <c r="A312" s="281" t="s">
        <v>233</v>
      </c>
      <c r="B312" s="260" t="s">
        <v>193</v>
      </c>
      <c r="C312" s="141" t="s">
        <v>186</v>
      </c>
      <c r="D312" s="142" t="s">
        <v>234</v>
      </c>
      <c r="E312" s="148"/>
      <c r="F312" s="142"/>
      <c r="G312" s="143">
        <f t="shared" si="13"/>
        <v>750</v>
      </c>
      <c r="H312" s="307">
        <f t="shared" si="13"/>
        <v>0</v>
      </c>
      <c r="I312" s="81"/>
    </row>
    <row r="313" spans="1:9" s="48" customFormat="1" ht="30">
      <c r="A313" s="282" t="s">
        <v>114</v>
      </c>
      <c r="B313" s="260" t="s">
        <v>193</v>
      </c>
      <c r="C313" s="141" t="s">
        <v>186</v>
      </c>
      <c r="D313" s="142" t="s">
        <v>235</v>
      </c>
      <c r="E313" s="148"/>
      <c r="F313" s="142"/>
      <c r="G313" s="143">
        <f t="shared" si="13"/>
        <v>750</v>
      </c>
      <c r="H313" s="307">
        <f t="shared" si="13"/>
        <v>0</v>
      </c>
      <c r="I313" s="81"/>
    </row>
    <row r="314" spans="1:9" s="48" customFormat="1" ht="15.75">
      <c r="A314" s="282" t="s">
        <v>168</v>
      </c>
      <c r="B314" s="260" t="s">
        <v>193</v>
      </c>
      <c r="C314" s="141" t="s">
        <v>186</v>
      </c>
      <c r="D314" s="142" t="s">
        <v>235</v>
      </c>
      <c r="E314" s="148" t="s">
        <v>51</v>
      </c>
      <c r="F314" s="142"/>
      <c r="G314" s="143">
        <f>'Прилож №5'!H188</f>
        <v>750</v>
      </c>
      <c r="H314" s="307">
        <f>'Прилож №5'!I188</f>
        <v>0</v>
      </c>
      <c r="I314" s="81"/>
    </row>
    <row r="315" spans="1:9" s="48" customFormat="1" ht="15.75">
      <c r="A315" s="277" t="s">
        <v>96</v>
      </c>
      <c r="B315" s="292" t="s">
        <v>193</v>
      </c>
      <c r="C315" s="144" t="s">
        <v>191</v>
      </c>
      <c r="D315" s="145"/>
      <c r="E315" s="144"/>
      <c r="F315" s="170"/>
      <c r="G315" s="146">
        <f>G319+G335+G316+G330</f>
        <v>70180.40000000001</v>
      </c>
      <c r="H315" s="146">
        <f>H319+H335+H316+H330</f>
        <v>54464</v>
      </c>
      <c r="I315" s="81"/>
    </row>
    <row r="316" spans="1:9" s="48" customFormat="1" ht="15.75">
      <c r="A316" s="282" t="s">
        <v>379</v>
      </c>
      <c r="B316" s="260" t="s">
        <v>193</v>
      </c>
      <c r="C316" s="141" t="s">
        <v>191</v>
      </c>
      <c r="D316" s="142" t="s">
        <v>380</v>
      </c>
      <c r="E316" s="141"/>
      <c r="F316" s="170"/>
      <c r="G316" s="143">
        <f>G317</f>
        <v>2062.8</v>
      </c>
      <c r="H316" s="143">
        <f>H317</f>
        <v>0</v>
      </c>
      <c r="I316" s="81"/>
    </row>
    <row r="317" spans="1:9" s="48" customFormat="1" ht="15.75">
      <c r="A317" s="281" t="s">
        <v>381</v>
      </c>
      <c r="B317" s="260" t="s">
        <v>193</v>
      </c>
      <c r="C317" s="141" t="s">
        <v>191</v>
      </c>
      <c r="D317" s="142" t="s">
        <v>382</v>
      </c>
      <c r="E317" s="141"/>
      <c r="F317" s="170"/>
      <c r="G317" s="143">
        <f>G318</f>
        <v>2062.8</v>
      </c>
      <c r="H317" s="143">
        <f>H318</f>
        <v>0</v>
      </c>
      <c r="I317" s="81"/>
    </row>
    <row r="318" spans="1:9" s="48" customFormat="1" ht="15.75">
      <c r="A318" s="281" t="s">
        <v>168</v>
      </c>
      <c r="B318" s="260" t="s">
        <v>193</v>
      </c>
      <c r="C318" s="141" t="s">
        <v>191</v>
      </c>
      <c r="D318" s="142" t="s">
        <v>382</v>
      </c>
      <c r="E318" s="141" t="s">
        <v>51</v>
      </c>
      <c r="F318" s="170"/>
      <c r="G318" s="143">
        <f>'Прилож №5'!H192</f>
        <v>2062.8</v>
      </c>
      <c r="H318" s="143">
        <f>'Прилож №5'!I192</f>
        <v>0</v>
      </c>
      <c r="I318" s="81"/>
    </row>
    <row r="319" spans="1:9" s="48" customFormat="1" ht="15.75">
      <c r="A319" s="281" t="s">
        <v>236</v>
      </c>
      <c r="B319" s="260" t="s">
        <v>193</v>
      </c>
      <c r="C319" s="141" t="s">
        <v>191</v>
      </c>
      <c r="D319" s="142" t="s">
        <v>90</v>
      </c>
      <c r="E319" s="141"/>
      <c r="F319" s="171"/>
      <c r="G319" s="143">
        <f>G320+G323+G325+G327+G329</f>
        <v>65196.3</v>
      </c>
      <c r="H319" s="143">
        <f>H320+H323+H325+H327+H329</f>
        <v>54464</v>
      </c>
      <c r="I319" s="81"/>
    </row>
    <row r="320" spans="1:9" s="48" customFormat="1" ht="15.75">
      <c r="A320" s="281" t="s">
        <v>237</v>
      </c>
      <c r="B320" s="260" t="s">
        <v>193</v>
      </c>
      <c r="C320" s="141" t="s">
        <v>191</v>
      </c>
      <c r="D320" s="142" t="s">
        <v>238</v>
      </c>
      <c r="E320" s="141"/>
      <c r="F320" s="171">
        <v>483</v>
      </c>
      <c r="G320" s="143">
        <f>G321</f>
        <v>2524</v>
      </c>
      <c r="H320" s="307">
        <f>H321</f>
        <v>0</v>
      </c>
      <c r="I320" s="81"/>
    </row>
    <row r="321" spans="1:9" s="48" customFormat="1" ht="30">
      <c r="A321" s="282" t="s">
        <v>239</v>
      </c>
      <c r="B321" s="260" t="s">
        <v>193</v>
      </c>
      <c r="C321" s="141" t="s">
        <v>191</v>
      </c>
      <c r="D321" s="142" t="s">
        <v>240</v>
      </c>
      <c r="E321" s="141"/>
      <c r="F321" s="171"/>
      <c r="G321" s="143">
        <f>G322</f>
        <v>2524</v>
      </c>
      <c r="H321" s="307">
        <f>H322</f>
        <v>0</v>
      </c>
      <c r="I321" s="81"/>
    </row>
    <row r="322" spans="1:9" s="48" customFormat="1" ht="15.75">
      <c r="A322" s="281" t="s">
        <v>168</v>
      </c>
      <c r="B322" s="260" t="s">
        <v>193</v>
      </c>
      <c r="C322" s="141" t="s">
        <v>191</v>
      </c>
      <c r="D322" s="142" t="s">
        <v>240</v>
      </c>
      <c r="E322" s="141" t="s">
        <v>51</v>
      </c>
      <c r="F322" s="171"/>
      <c r="G322" s="143">
        <f>'Прилож №5'!H201</f>
        <v>2524</v>
      </c>
      <c r="H322" s="307">
        <f>'Прилож №5'!I201</f>
        <v>0</v>
      </c>
      <c r="I322" s="81"/>
    </row>
    <row r="323" spans="1:9" s="48" customFormat="1" ht="30">
      <c r="A323" s="282" t="s">
        <v>144</v>
      </c>
      <c r="B323" s="260" t="s">
        <v>193</v>
      </c>
      <c r="C323" s="141" t="s">
        <v>191</v>
      </c>
      <c r="D323" s="142" t="s">
        <v>241</v>
      </c>
      <c r="E323" s="141"/>
      <c r="F323" s="171"/>
      <c r="G323" s="143">
        <f>G324</f>
        <v>50036.3</v>
      </c>
      <c r="H323" s="307">
        <f>H324</f>
        <v>46732</v>
      </c>
      <c r="I323" s="81"/>
    </row>
    <row r="324" spans="1:9" s="48" customFormat="1" ht="13.5" customHeight="1">
      <c r="A324" s="282" t="s">
        <v>168</v>
      </c>
      <c r="B324" s="260" t="s">
        <v>193</v>
      </c>
      <c r="C324" s="141" t="s">
        <v>191</v>
      </c>
      <c r="D324" s="142" t="s">
        <v>241</v>
      </c>
      <c r="E324" s="141" t="s">
        <v>51</v>
      </c>
      <c r="F324" s="171">
        <v>572</v>
      </c>
      <c r="G324" s="143">
        <f>'Прилож №5'!H203</f>
        <v>50036.3</v>
      </c>
      <c r="H324" s="307">
        <f>'Прилож №5'!I203</f>
        <v>46732</v>
      </c>
      <c r="I324" s="81"/>
    </row>
    <row r="325" spans="1:9" s="48" customFormat="1" ht="42" customHeight="1">
      <c r="A325" s="47" t="s">
        <v>393</v>
      </c>
      <c r="B325" s="260" t="s">
        <v>193</v>
      </c>
      <c r="C325" s="141" t="s">
        <v>191</v>
      </c>
      <c r="D325" s="142" t="s">
        <v>394</v>
      </c>
      <c r="E325" s="159"/>
      <c r="F325" s="172"/>
      <c r="G325" s="161">
        <f>G326</f>
        <v>4904</v>
      </c>
      <c r="H325" s="313">
        <f>H326</f>
        <v>0</v>
      </c>
      <c r="I325" s="81"/>
    </row>
    <row r="326" spans="1:9" s="48" customFormat="1" ht="13.5" customHeight="1">
      <c r="A326" s="25" t="s">
        <v>168</v>
      </c>
      <c r="B326" s="260" t="s">
        <v>193</v>
      </c>
      <c r="C326" s="141" t="s">
        <v>191</v>
      </c>
      <c r="D326" s="142" t="s">
        <v>394</v>
      </c>
      <c r="E326" s="141" t="s">
        <v>51</v>
      </c>
      <c r="F326" s="171"/>
      <c r="G326" s="143">
        <f>'Прилож №5'!H418</f>
        <v>4904</v>
      </c>
      <c r="H326" s="307">
        <f>'Прилож №5'!I418</f>
        <v>0</v>
      </c>
      <c r="I326" s="81"/>
    </row>
    <row r="327" spans="1:9" s="48" customFormat="1" ht="48" customHeight="1">
      <c r="A327" s="258" t="s">
        <v>438</v>
      </c>
      <c r="B327" s="259" t="s">
        <v>193</v>
      </c>
      <c r="C327" s="255" t="s">
        <v>191</v>
      </c>
      <c r="D327" s="188" t="s">
        <v>439</v>
      </c>
      <c r="E327" s="255"/>
      <c r="F327" s="256"/>
      <c r="G327" s="257">
        <f>'Прилож №5'!H419</f>
        <v>6185</v>
      </c>
      <c r="H327" s="321">
        <f>'Прилож №5'!I419</f>
        <v>6185</v>
      </c>
      <c r="I327" s="81"/>
    </row>
    <row r="328" spans="1:9" s="48" customFormat="1" ht="16.5" customHeight="1" thickBot="1">
      <c r="A328" s="25" t="s">
        <v>168</v>
      </c>
      <c r="B328" s="295" t="s">
        <v>193</v>
      </c>
      <c r="C328" s="141" t="s">
        <v>191</v>
      </c>
      <c r="D328" s="142" t="s">
        <v>440</v>
      </c>
      <c r="E328" s="141" t="s">
        <v>51</v>
      </c>
      <c r="F328" s="171"/>
      <c r="G328" s="143">
        <f>'Прилож №5'!H420</f>
        <v>6185</v>
      </c>
      <c r="H328" s="307">
        <f>'Прилож №5'!I420</f>
        <v>6185</v>
      </c>
      <c r="I328" s="81"/>
    </row>
    <row r="329" spans="1:9" s="48" customFormat="1" ht="46.5" customHeight="1" thickBot="1">
      <c r="A329" s="101" t="s">
        <v>442</v>
      </c>
      <c r="B329" s="267" t="s">
        <v>193</v>
      </c>
      <c r="C329" s="159" t="s">
        <v>191</v>
      </c>
      <c r="D329" s="160" t="s">
        <v>443</v>
      </c>
      <c r="E329" s="159" t="s">
        <v>51</v>
      </c>
      <c r="F329" s="172"/>
      <c r="G329" s="161">
        <f>'Прилож №5'!H421</f>
        <v>1547</v>
      </c>
      <c r="H329" s="313">
        <f>'Прилож №5'!I421</f>
        <v>1547</v>
      </c>
      <c r="I329" s="81"/>
    </row>
    <row r="330" spans="1:9" s="48" customFormat="1" ht="13.5" customHeight="1">
      <c r="A330" s="275" t="s">
        <v>385</v>
      </c>
      <c r="B330" s="260" t="s">
        <v>193</v>
      </c>
      <c r="C330" s="159" t="s">
        <v>191</v>
      </c>
      <c r="D330" s="160" t="s">
        <v>386</v>
      </c>
      <c r="E330" s="159"/>
      <c r="F330" s="172"/>
      <c r="G330" s="161">
        <f>G332+G331</f>
        <v>1213.5</v>
      </c>
      <c r="H330" s="161">
        <f>H332+H331</f>
        <v>0</v>
      </c>
      <c r="I330" s="81"/>
    </row>
    <row r="331" spans="1:9" s="48" customFormat="1" ht="13.5" customHeight="1">
      <c r="A331" s="275" t="s">
        <v>449</v>
      </c>
      <c r="B331" s="260" t="s">
        <v>193</v>
      </c>
      <c r="C331" s="159" t="s">
        <v>191</v>
      </c>
      <c r="D331" s="160" t="s">
        <v>450</v>
      </c>
      <c r="E331" s="159" t="s">
        <v>51</v>
      </c>
      <c r="F331" s="172"/>
      <c r="G331" s="161">
        <f>'Прилож №5'!H194</f>
        <v>0</v>
      </c>
      <c r="H331" s="161">
        <f>'Прилож №5'!I194</f>
        <v>0</v>
      </c>
      <c r="I331" s="81"/>
    </row>
    <row r="332" spans="1:9" s="48" customFormat="1" ht="13.5" customHeight="1">
      <c r="A332" s="275" t="s">
        <v>387</v>
      </c>
      <c r="B332" s="260" t="s">
        <v>193</v>
      </c>
      <c r="C332" s="159" t="s">
        <v>191</v>
      </c>
      <c r="D332" s="160" t="s">
        <v>388</v>
      </c>
      <c r="E332" s="159"/>
      <c r="F332" s="172"/>
      <c r="G332" s="161">
        <f>G333</f>
        <v>1213.5</v>
      </c>
      <c r="H332" s="313"/>
      <c r="I332" s="81"/>
    </row>
    <row r="333" spans="1:9" s="48" customFormat="1" ht="13.5" customHeight="1">
      <c r="A333" s="275" t="s">
        <v>381</v>
      </c>
      <c r="B333" s="260" t="s">
        <v>193</v>
      </c>
      <c r="C333" s="159" t="s">
        <v>191</v>
      </c>
      <c r="D333" s="160" t="s">
        <v>389</v>
      </c>
      <c r="E333" s="159"/>
      <c r="F333" s="172"/>
      <c r="G333" s="161">
        <f>G334</f>
        <v>1213.5</v>
      </c>
      <c r="H333" s="313"/>
      <c r="I333" s="81"/>
    </row>
    <row r="334" spans="1:9" s="48" customFormat="1" ht="13.5" customHeight="1">
      <c r="A334" s="275" t="s">
        <v>383</v>
      </c>
      <c r="B334" s="260" t="s">
        <v>193</v>
      </c>
      <c r="C334" s="159" t="s">
        <v>191</v>
      </c>
      <c r="D334" s="160" t="s">
        <v>389</v>
      </c>
      <c r="E334" s="159" t="s">
        <v>384</v>
      </c>
      <c r="F334" s="172"/>
      <c r="G334" s="161">
        <f>'Прилож №5'!H197</f>
        <v>1213.5</v>
      </c>
      <c r="H334" s="313"/>
      <c r="I334" s="81"/>
    </row>
    <row r="335" spans="1:9" s="48" customFormat="1" ht="15" customHeight="1">
      <c r="A335" s="281" t="s">
        <v>131</v>
      </c>
      <c r="B335" s="260" t="s">
        <v>193</v>
      </c>
      <c r="C335" s="159" t="s">
        <v>191</v>
      </c>
      <c r="D335" s="160" t="s">
        <v>132</v>
      </c>
      <c r="E335" s="159"/>
      <c r="F335" s="172"/>
      <c r="G335" s="161">
        <f>G336+G338</f>
        <v>1707.8</v>
      </c>
      <c r="H335" s="307">
        <f>H336</f>
        <v>0</v>
      </c>
      <c r="I335" s="81"/>
    </row>
    <row r="336" spans="1:9" s="48" customFormat="1" ht="27" customHeight="1">
      <c r="A336" s="282" t="s">
        <v>361</v>
      </c>
      <c r="B336" s="260" t="s">
        <v>193</v>
      </c>
      <c r="C336" s="159" t="s">
        <v>191</v>
      </c>
      <c r="D336" s="160" t="s">
        <v>246</v>
      </c>
      <c r="E336" s="159"/>
      <c r="F336" s="172"/>
      <c r="G336" s="161">
        <f>G337</f>
        <v>1324</v>
      </c>
      <c r="H336" s="307">
        <f>H337</f>
        <v>0</v>
      </c>
      <c r="I336" s="81"/>
    </row>
    <row r="337" spans="1:9" s="48" customFormat="1" ht="15" customHeight="1">
      <c r="A337" s="284" t="s">
        <v>146</v>
      </c>
      <c r="B337" s="260" t="s">
        <v>193</v>
      </c>
      <c r="C337" s="159" t="s">
        <v>191</v>
      </c>
      <c r="D337" s="160" t="s">
        <v>246</v>
      </c>
      <c r="E337" s="159" t="s">
        <v>274</v>
      </c>
      <c r="F337" s="172"/>
      <c r="G337" s="161">
        <f>'Прилож №5'!H206</f>
        <v>1324</v>
      </c>
      <c r="H337" s="307">
        <f>'Прилож №5'!I206</f>
        <v>0</v>
      </c>
      <c r="I337" s="81"/>
    </row>
    <row r="338" spans="1:9" s="48" customFormat="1" ht="31.5" customHeight="1">
      <c r="A338" s="282" t="s">
        <v>345</v>
      </c>
      <c r="B338" s="260" t="s">
        <v>193</v>
      </c>
      <c r="C338" s="159" t="s">
        <v>191</v>
      </c>
      <c r="D338" s="160" t="s">
        <v>291</v>
      </c>
      <c r="E338" s="159"/>
      <c r="F338" s="172"/>
      <c r="G338" s="161">
        <f>G339</f>
        <v>383.8</v>
      </c>
      <c r="H338" s="307"/>
      <c r="I338" s="81"/>
    </row>
    <row r="339" spans="1:9" s="48" customFormat="1" ht="15" customHeight="1">
      <c r="A339" s="284" t="s">
        <v>146</v>
      </c>
      <c r="B339" s="260" t="s">
        <v>193</v>
      </c>
      <c r="C339" s="159" t="s">
        <v>191</v>
      </c>
      <c r="D339" s="160" t="s">
        <v>291</v>
      </c>
      <c r="E339" s="159" t="s">
        <v>274</v>
      </c>
      <c r="F339" s="172"/>
      <c r="G339" s="161">
        <f>'Прилож №5'!H208</f>
        <v>383.8</v>
      </c>
      <c r="H339" s="307"/>
      <c r="I339" s="81"/>
    </row>
    <row r="340" spans="1:9" s="48" customFormat="1" ht="15" customHeight="1">
      <c r="A340" s="25" t="s">
        <v>319</v>
      </c>
      <c r="B340" s="260" t="s">
        <v>193</v>
      </c>
      <c r="C340" s="159" t="s">
        <v>188</v>
      </c>
      <c r="D340" s="160"/>
      <c r="E340" s="159"/>
      <c r="F340" s="172"/>
      <c r="G340" s="143">
        <f aca="true" t="shared" si="14" ref="G340:H342">G341</f>
        <v>9901.3</v>
      </c>
      <c r="H340" s="307">
        <f t="shared" si="14"/>
        <v>9352.5</v>
      </c>
      <c r="I340" s="81"/>
    </row>
    <row r="341" spans="1:9" s="48" customFormat="1" ht="15" customHeight="1">
      <c r="A341" s="27" t="s">
        <v>125</v>
      </c>
      <c r="B341" s="260" t="s">
        <v>193</v>
      </c>
      <c r="C341" s="159" t="s">
        <v>188</v>
      </c>
      <c r="D341" s="160" t="s">
        <v>95</v>
      </c>
      <c r="E341" s="159"/>
      <c r="F341" s="172"/>
      <c r="G341" s="143">
        <f t="shared" si="14"/>
        <v>9901.3</v>
      </c>
      <c r="H341" s="307">
        <f t="shared" si="14"/>
        <v>9352.5</v>
      </c>
      <c r="I341" s="81"/>
    </row>
    <row r="342" spans="1:9" s="48" customFormat="1" ht="60" customHeight="1">
      <c r="A342" s="35" t="s">
        <v>278</v>
      </c>
      <c r="B342" s="260" t="s">
        <v>193</v>
      </c>
      <c r="C342" s="159" t="s">
        <v>188</v>
      </c>
      <c r="D342" s="160" t="s">
        <v>277</v>
      </c>
      <c r="E342" s="159"/>
      <c r="F342" s="172"/>
      <c r="G342" s="143">
        <f t="shared" si="14"/>
        <v>9901.3</v>
      </c>
      <c r="H342" s="307">
        <f t="shared" si="14"/>
        <v>9352.5</v>
      </c>
      <c r="I342" s="81"/>
    </row>
    <row r="343" spans="1:9" s="48" customFormat="1" ht="15" customHeight="1">
      <c r="A343" s="26" t="s">
        <v>168</v>
      </c>
      <c r="B343" s="260" t="s">
        <v>193</v>
      </c>
      <c r="C343" s="159" t="s">
        <v>188</v>
      </c>
      <c r="D343" s="160" t="s">
        <v>277</v>
      </c>
      <c r="E343" s="159" t="s">
        <v>51</v>
      </c>
      <c r="F343" s="172"/>
      <c r="G343" s="143">
        <f>'Прилож №5'!H269</f>
        <v>9901.3</v>
      </c>
      <c r="H343" s="307">
        <f>'Прилож №5'!I269</f>
        <v>9352.5</v>
      </c>
      <c r="I343" s="81"/>
    </row>
    <row r="344" spans="1:9" s="48" customFormat="1" ht="15.75">
      <c r="A344" s="277" t="s">
        <v>130</v>
      </c>
      <c r="B344" s="292" t="s">
        <v>193</v>
      </c>
      <c r="C344" s="144" t="s">
        <v>205</v>
      </c>
      <c r="D344" s="145"/>
      <c r="E344" s="144"/>
      <c r="F344" s="145"/>
      <c r="G344" s="146">
        <f aca="true" t="shared" si="15" ref="G344:H346">G345</f>
        <v>4630</v>
      </c>
      <c r="H344" s="308">
        <f t="shared" si="15"/>
        <v>0</v>
      </c>
      <c r="I344" s="81"/>
    </row>
    <row r="345" spans="1:9" s="48" customFormat="1" ht="15.75">
      <c r="A345" s="281" t="s">
        <v>131</v>
      </c>
      <c r="B345" s="260" t="s">
        <v>193</v>
      </c>
      <c r="C345" s="141" t="s">
        <v>205</v>
      </c>
      <c r="D345" s="142" t="s">
        <v>132</v>
      </c>
      <c r="E345" s="141"/>
      <c r="F345" s="142"/>
      <c r="G345" s="143">
        <f t="shared" si="15"/>
        <v>4630</v>
      </c>
      <c r="H345" s="307">
        <f t="shared" si="15"/>
        <v>0</v>
      </c>
      <c r="I345" s="81"/>
    </row>
    <row r="346" spans="1:9" s="48" customFormat="1" ht="30" customHeight="1">
      <c r="A346" s="282" t="s">
        <v>244</v>
      </c>
      <c r="B346" s="260" t="s">
        <v>193</v>
      </c>
      <c r="C346" s="141" t="s">
        <v>205</v>
      </c>
      <c r="D346" s="142" t="s">
        <v>245</v>
      </c>
      <c r="E346" s="141"/>
      <c r="F346" s="142"/>
      <c r="G346" s="143">
        <f>G347</f>
        <v>4630</v>
      </c>
      <c r="H346" s="307">
        <f t="shared" si="15"/>
        <v>0</v>
      </c>
      <c r="I346" s="81"/>
    </row>
    <row r="347" spans="1:10" s="48" customFormat="1" ht="16.5" thickBot="1">
      <c r="A347" s="283" t="s">
        <v>146</v>
      </c>
      <c r="B347" s="295" t="s">
        <v>193</v>
      </c>
      <c r="C347" s="148" t="s">
        <v>205</v>
      </c>
      <c r="D347" s="149" t="s">
        <v>245</v>
      </c>
      <c r="E347" s="148" t="s">
        <v>274</v>
      </c>
      <c r="F347" s="149"/>
      <c r="G347" s="150">
        <f>'Прилож №5'!H212+'Прилож №5'!H341</f>
        <v>4630</v>
      </c>
      <c r="H347" s="318">
        <f>'Прилож №5'!I212</f>
        <v>0</v>
      </c>
      <c r="I347" s="81"/>
      <c r="J347" s="173"/>
    </row>
    <row r="348" spans="1:9" s="48" customFormat="1" ht="16.5" thickBot="1">
      <c r="A348" s="278" t="s">
        <v>74</v>
      </c>
      <c r="B348" s="293"/>
      <c r="C348" s="151"/>
      <c r="D348" s="152"/>
      <c r="E348" s="151"/>
      <c r="F348" s="152"/>
      <c r="G348" s="153">
        <f>G13+G55+G60+G92+G115+G167+G173+G229+G258+G310</f>
        <v>2224844</v>
      </c>
      <c r="H348" s="310">
        <f>H13+H55+H60+H92+H115+H167+H173+H229+H258+H310</f>
        <v>555860.3</v>
      </c>
      <c r="I348" s="81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1"/>
  <sheetViews>
    <sheetView tabSelected="1" workbookViewId="0" topLeftCell="A1">
      <selection activeCell="I3" sqref="I3"/>
    </sheetView>
  </sheetViews>
  <sheetFormatPr defaultColWidth="8.796875" defaultRowHeight="15"/>
  <cols>
    <col min="1" max="1" width="52.39843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1" customWidth="1"/>
    <col min="8" max="8" width="10.09765625" style="2" customWidth="1"/>
    <col min="9" max="9" width="11.09765625" style="2" customWidth="1"/>
  </cols>
  <sheetData>
    <row r="1" ht="15.75">
      <c r="I1" s="84" t="s">
        <v>455</v>
      </c>
    </row>
    <row r="2" ht="15.75">
      <c r="I2" s="84" t="s">
        <v>263</v>
      </c>
    </row>
    <row r="3" ht="15.75">
      <c r="I3" s="84" t="s">
        <v>458</v>
      </c>
    </row>
    <row r="4" spans="8:9" ht="15.75">
      <c r="H4" s="127"/>
      <c r="I4" s="84" t="s">
        <v>456</v>
      </c>
    </row>
    <row r="5" ht="15.75">
      <c r="I5" s="84" t="s">
        <v>264</v>
      </c>
    </row>
    <row r="6" spans="1:9" ht="15.75">
      <c r="A6" s="3"/>
      <c r="B6" s="4"/>
      <c r="C6" s="4"/>
      <c r="D6" s="4"/>
      <c r="E6" s="4"/>
      <c r="F6" s="4"/>
      <c r="I6" s="84" t="s">
        <v>457</v>
      </c>
    </row>
    <row r="7" spans="1:9" ht="22.5" customHeight="1">
      <c r="A7" s="338" t="s">
        <v>333</v>
      </c>
      <c r="B7" s="338"/>
      <c r="C7" s="338"/>
      <c r="D7" s="338"/>
      <c r="E7" s="338"/>
      <c r="F7" s="338"/>
      <c r="G7" s="338"/>
      <c r="H7" s="338"/>
      <c r="I7" s="338"/>
    </row>
    <row r="8" spans="1:9" ht="16.5" thickBot="1">
      <c r="A8" s="2"/>
      <c r="B8" s="4"/>
      <c r="C8" s="4"/>
      <c r="D8" s="4"/>
      <c r="E8" s="4"/>
      <c r="F8" s="4"/>
      <c r="I8" s="130" t="s">
        <v>265</v>
      </c>
    </row>
    <row r="9" spans="1:9" ht="15.75">
      <c r="A9" s="77" t="s">
        <v>0</v>
      </c>
      <c r="B9" s="178" t="s">
        <v>56</v>
      </c>
      <c r="C9" s="60" t="s">
        <v>57</v>
      </c>
      <c r="D9" s="61" t="s">
        <v>63</v>
      </c>
      <c r="E9" s="60" t="s">
        <v>61</v>
      </c>
      <c r="F9" s="61"/>
      <c r="G9" s="184" t="s">
        <v>59</v>
      </c>
      <c r="H9" s="58" t="s">
        <v>60</v>
      </c>
      <c r="I9" s="269" t="s">
        <v>89</v>
      </c>
    </row>
    <row r="10" spans="1:9" ht="33.75" customHeight="1" thickBot="1">
      <c r="A10" s="57"/>
      <c r="B10" s="179"/>
      <c r="C10" s="78"/>
      <c r="D10" s="62" t="s">
        <v>64</v>
      </c>
      <c r="E10" s="78" t="s">
        <v>58</v>
      </c>
      <c r="F10" s="62"/>
      <c r="G10" s="185"/>
      <c r="H10" s="59"/>
      <c r="I10" s="118" t="s">
        <v>247</v>
      </c>
    </row>
    <row r="11" spans="1:9" ht="19.5" thickBot="1">
      <c r="A11" s="75" t="s">
        <v>55</v>
      </c>
      <c r="B11" s="28" t="s">
        <v>86</v>
      </c>
      <c r="C11" s="21"/>
      <c r="D11" s="13"/>
      <c r="E11" s="21"/>
      <c r="F11" s="13"/>
      <c r="G11" s="52"/>
      <c r="H11" s="39">
        <f>H12+H36+H41+H56+H79+H132+H138+H161+H169+H184</f>
        <v>765102.6000000002</v>
      </c>
      <c r="I11" s="39">
        <f>I12+I36+I41+I56+I79+I132+I138+I161+I169+I184</f>
        <v>268470.3</v>
      </c>
    </row>
    <row r="12" spans="1:9" ht="15.75">
      <c r="A12" s="147" t="s">
        <v>17</v>
      </c>
      <c r="B12" s="97" t="s">
        <v>86</v>
      </c>
      <c r="C12" s="17" t="s">
        <v>186</v>
      </c>
      <c r="D12" s="32" t="s">
        <v>126</v>
      </c>
      <c r="E12" s="17"/>
      <c r="F12" s="91"/>
      <c r="G12" s="86"/>
      <c r="H12" s="40">
        <f>H13+H17+H25+H29+H21</f>
        <v>107307.50000000001</v>
      </c>
      <c r="I12" s="40">
        <f>I13+I17+I25+I29+I21</f>
        <v>5147</v>
      </c>
    </row>
    <row r="13" spans="1:9" s="23" customFormat="1" ht="26.25">
      <c r="A13" s="120" t="s">
        <v>102</v>
      </c>
      <c r="B13" s="14" t="s">
        <v>86</v>
      </c>
      <c r="C13" s="34" t="s">
        <v>186</v>
      </c>
      <c r="D13" s="45" t="s">
        <v>187</v>
      </c>
      <c r="E13" s="34"/>
      <c r="F13" s="45"/>
      <c r="G13" s="121"/>
      <c r="H13" s="104">
        <f>H14</f>
        <v>1577.3</v>
      </c>
      <c r="I13" s="104">
        <f>I14</f>
        <v>0</v>
      </c>
    </row>
    <row r="14" spans="1:9" s="48" customFormat="1" ht="39">
      <c r="A14" s="64" t="s">
        <v>295</v>
      </c>
      <c r="B14" s="68" t="s">
        <v>86</v>
      </c>
      <c r="C14" s="69" t="s">
        <v>186</v>
      </c>
      <c r="D14" s="70" t="s">
        <v>187</v>
      </c>
      <c r="E14" s="69" t="s">
        <v>273</v>
      </c>
      <c r="F14" s="70"/>
      <c r="G14" s="71"/>
      <c r="H14" s="67">
        <f>H16</f>
        <v>1577.3</v>
      </c>
      <c r="I14" s="67">
        <f>I16</f>
        <v>0</v>
      </c>
    </row>
    <row r="15" spans="1:9" s="48" customFormat="1" ht="15.75">
      <c r="A15" s="65" t="s">
        <v>296</v>
      </c>
      <c r="B15" s="68" t="s">
        <v>86</v>
      </c>
      <c r="C15" s="69" t="s">
        <v>186</v>
      </c>
      <c r="D15" s="70" t="s">
        <v>187</v>
      </c>
      <c r="E15" s="69" t="s">
        <v>297</v>
      </c>
      <c r="F15" s="70"/>
      <c r="G15" s="71"/>
      <c r="H15" s="67">
        <f>H16</f>
        <v>1577.3</v>
      </c>
      <c r="I15" s="67">
        <f>I16</f>
        <v>0</v>
      </c>
    </row>
    <row r="16" spans="1:9" s="48" customFormat="1" ht="15.75">
      <c r="A16" s="66" t="s">
        <v>146</v>
      </c>
      <c r="B16" s="68" t="s">
        <v>86</v>
      </c>
      <c r="C16" s="69" t="s">
        <v>186</v>
      </c>
      <c r="D16" s="70" t="s">
        <v>187</v>
      </c>
      <c r="E16" s="69" t="s">
        <v>297</v>
      </c>
      <c r="F16" s="70"/>
      <c r="G16" s="71" t="s">
        <v>274</v>
      </c>
      <c r="H16" s="67">
        <f>1907.3-330</f>
        <v>1577.3</v>
      </c>
      <c r="I16" s="67"/>
    </row>
    <row r="17" spans="1:9" s="23" customFormat="1" ht="26.25">
      <c r="A17" s="122" t="s">
        <v>103</v>
      </c>
      <c r="B17" s="98" t="s">
        <v>86</v>
      </c>
      <c r="C17" s="95" t="s">
        <v>186</v>
      </c>
      <c r="D17" s="107" t="s">
        <v>188</v>
      </c>
      <c r="E17" s="95"/>
      <c r="F17" s="107"/>
      <c r="G17" s="117"/>
      <c r="H17" s="79">
        <f aca="true" t="shared" si="0" ref="H17:I19">H18</f>
        <v>89884.6</v>
      </c>
      <c r="I17" s="79">
        <f t="shared" si="0"/>
        <v>5147</v>
      </c>
    </row>
    <row r="18" spans="1:9" ht="39">
      <c r="A18" s="64" t="s">
        <v>295</v>
      </c>
      <c r="B18" s="68" t="s">
        <v>86</v>
      </c>
      <c r="C18" s="69" t="s">
        <v>186</v>
      </c>
      <c r="D18" s="70" t="s">
        <v>188</v>
      </c>
      <c r="E18" s="72" t="s">
        <v>273</v>
      </c>
      <c r="F18" s="63"/>
      <c r="G18" s="73"/>
      <c r="H18" s="67">
        <f t="shared" si="0"/>
        <v>89884.6</v>
      </c>
      <c r="I18" s="67">
        <f t="shared" si="0"/>
        <v>5147</v>
      </c>
    </row>
    <row r="19" spans="1:9" ht="15.75">
      <c r="A19" s="65" t="s">
        <v>50</v>
      </c>
      <c r="B19" s="68" t="s">
        <v>86</v>
      </c>
      <c r="C19" s="69" t="s">
        <v>186</v>
      </c>
      <c r="D19" s="70" t="s">
        <v>188</v>
      </c>
      <c r="E19" s="72" t="s">
        <v>275</v>
      </c>
      <c r="F19" s="63"/>
      <c r="G19" s="87"/>
      <c r="H19" s="67">
        <f t="shared" si="0"/>
        <v>89884.6</v>
      </c>
      <c r="I19" s="67">
        <f t="shared" si="0"/>
        <v>5147</v>
      </c>
    </row>
    <row r="20" spans="1:9" ht="15.75">
      <c r="A20" s="66" t="s">
        <v>146</v>
      </c>
      <c r="B20" s="68" t="s">
        <v>86</v>
      </c>
      <c r="C20" s="69" t="s">
        <v>186</v>
      </c>
      <c r="D20" s="70" t="s">
        <v>188</v>
      </c>
      <c r="E20" s="69" t="s">
        <v>275</v>
      </c>
      <c r="F20" s="70"/>
      <c r="G20" s="71" t="s">
        <v>274</v>
      </c>
      <c r="H20" s="67">
        <f>92473.7+1910+1215+2916+1000+200+240+1263+6200-1000-4030+27684+14-69-265-115-124-177-77-6497-200+2800-67-23000+998.6-12063.8-1000-150-32.5-162.4</f>
        <v>89884.6</v>
      </c>
      <c r="I20" s="67">
        <f>6041-69-265-115-124-177-77-67</f>
        <v>5147</v>
      </c>
    </row>
    <row r="21" spans="1:9" s="23" customFormat="1" ht="15.75">
      <c r="A21" s="106" t="s">
        <v>395</v>
      </c>
      <c r="B21" s="98" t="s">
        <v>86</v>
      </c>
      <c r="C21" s="95" t="s">
        <v>186</v>
      </c>
      <c r="D21" s="107" t="s">
        <v>200</v>
      </c>
      <c r="E21" s="95"/>
      <c r="F21" s="107"/>
      <c r="G21" s="222"/>
      <c r="H21" s="79">
        <f>H22</f>
        <v>38.1</v>
      </c>
      <c r="I21" s="79"/>
    </row>
    <row r="22" spans="1:9" ht="15.75">
      <c r="A22" s="66" t="s">
        <v>147</v>
      </c>
      <c r="B22" s="68" t="s">
        <v>86</v>
      </c>
      <c r="C22" s="69" t="s">
        <v>186</v>
      </c>
      <c r="D22" s="70" t="s">
        <v>200</v>
      </c>
      <c r="E22" s="69" t="s">
        <v>396</v>
      </c>
      <c r="F22" s="70"/>
      <c r="G22" s="137"/>
      <c r="H22" s="67">
        <f>H23</f>
        <v>38.1</v>
      </c>
      <c r="I22" s="67"/>
    </row>
    <row r="23" spans="1:9" ht="26.25">
      <c r="A23" s="65" t="s">
        <v>397</v>
      </c>
      <c r="B23" s="68" t="s">
        <v>86</v>
      </c>
      <c r="C23" s="69" t="s">
        <v>186</v>
      </c>
      <c r="D23" s="70" t="s">
        <v>200</v>
      </c>
      <c r="E23" s="69" t="s">
        <v>398</v>
      </c>
      <c r="F23" s="70"/>
      <c r="G23" s="137"/>
      <c r="H23" s="67">
        <f>H24</f>
        <v>38.1</v>
      </c>
      <c r="I23" s="67"/>
    </row>
    <row r="24" spans="1:9" ht="15.75">
      <c r="A24" s="66" t="s">
        <v>146</v>
      </c>
      <c r="B24" s="68" t="s">
        <v>86</v>
      </c>
      <c r="C24" s="69" t="s">
        <v>186</v>
      </c>
      <c r="D24" s="70" t="s">
        <v>200</v>
      </c>
      <c r="E24" s="69" t="s">
        <v>398</v>
      </c>
      <c r="F24" s="70" t="s">
        <v>274</v>
      </c>
      <c r="G24" s="137" t="s">
        <v>274</v>
      </c>
      <c r="H24" s="67">
        <f>46.6-8.5</f>
        <v>38.1</v>
      </c>
      <c r="I24" s="67"/>
    </row>
    <row r="25" spans="1:9" s="23" customFormat="1" ht="15.75">
      <c r="A25" s="112" t="s">
        <v>16</v>
      </c>
      <c r="B25" s="98" t="s">
        <v>86</v>
      </c>
      <c r="C25" s="95" t="s">
        <v>186</v>
      </c>
      <c r="D25" s="107" t="s">
        <v>189</v>
      </c>
      <c r="E25" s="95"/>
      <c r="F25" s="93"/>
      <c r="G25" s="90"/>
      <c r="H25" s="79">
        <f aca="true" t="shared" si="1" ref="H25:I27">H26</f>
        <v>6000.000000000001</v>
      </c>
      <c r="I25" s="79">
        <f t="shared" si="1"/>
        <v>0</v>
      </c>
    </row>
    <row r="26" spans="1:9" ht="15.75">
      <c r="A26" s="26" t="s">
        <v>16</v>
      </c>
      <c r="B26" s="68" t="s">
        <v>86</v>
      </c>
      <c r="C26" s="69" t="s">
        <v>186</v>
      </c>
      <c r="D26" s="70" t="s">
        <v>189</v>
      </c>
      <c r="E26" s="69" t="s">
        <v>19</v>
      </c>
      <c r="F26" s="74"/>
      <c r="G26" s="87"/>
      <c r="H26" s="67">
        <f t="shared" si="1"/>
        <v>6000.000000000001</v>
      </c>
      <c r="I26" s="67">
        <f t="shared" si="1"/>
        <v>0</v>
      </c>
    </row>
    <row r="27" spans="1:9" ht="15.75">
      <c r="A27" s="8" t="s">
        <v>149</v>
      </c>
      <c r="B27" s="68" t="s">
        <v>86</v>
      </c>
      <c r="C27" s="69" t="s">
        <v>186</v>
      </c>
      <c r="D27" s="70" t="s">
        <v>189</v>
      </c>
      <c r="E27" s="69" t="s">
        <v>150</v>
      </c>
      <c r="F27" s="74"/>
      <c r="G27" s="87"/>
      <c r="H27" s="67">
        <f t="shared" si="1"/>
        <v>6000.000000000001</v>
      </c>
      <c r="I27" s="67">
        <f t="shared" si="1"/>
        <v>0</v>
      </c>
    </row>
    <row r="28" spans="1:9" ht="15.75">
      <c r="A28" s="27" t="s">
        <v>148</v>
      </c>
      <c r="B28" s="68" t="s">
        <v>86</v>
      </c>
      <c r="C28" s="69" t="s">
        <v>186</v>
      </c>
      <c r="D28" s="70" t="s">
        <v>189</v>
      </c>
      <c r="E28" s="69" t="s">
        <v>150</v>
      </c>
      <c r="F28" s="74"/>
      <c r="G28" s="87" t="s">
        <v>128</v>
      </c>
      <c r="H28" s="67">
        <f>5348.6+245.8+112.6+31.7+103.1+158.2</f>
        <v>6000.000000000001</v>
      </c>
      <c r="I28" s="67"/>
    </row>
    <row r="29" spans="1:9" s="23" customFormat="1" ht="15.75">
      <c r="A29" s="123" t="s">
        <v>80</v>
      </c>
      <c r="B29" s="98" t="s">
        <v>86</v>
      </c>
      <c r="C29" s="95" t="s">
        <v>186</v>
      </c>
      <c r="D29" s="107" t="s">
        <v>190</v>
      </c>
      <c r="E29" s="95"/>
      <c r="F29" s="93"/>
      <c r="G29" s="90"/>
      <c r="H29" s="79">
        <f>H30+H33</f>
        <v>9807.5</v>
      </c>
      <c r="I29" s="79">
        <f>I30</f>
        <v>0</v>
      </c>
    </row>
    <row r="30" spans="1:9" ht="26.25">
      <c r="A30" s="47" t="s">
        <v>204</v>
      </c>
      <c r="B30" s="43" t="s">
        <v>86</v>
      </c>
      <c r="C30" s="18" t="s">
        <v>186</v>
      </c>
      <c r="D30" s="30" t="s">
        <v>190</v>
      </c>
      <c r="E30" s="18" t="s">
        <v>138</v>
      </c>
      <c r="F30" s="7"/>
      <c r="G30" s="49"/>
      <c r="H30" s="38">
        <f>H31</f>
        <v>9307.5</v>
      </c>
      <c r="I30" s="204"/>
    </row>
    <row r="31" spans="1:9" ht="15.75">
      <c r="A31" s="85" t="s">
        <v>77</v>
      </c>
      <c r="B31" s="43" t="s">
        <v>86</v>
      </c>
      <c r="C31" s="18" t="s">
        <v>186</v>
      </c>
      <c r="D31" s="30" t="s">
        <v>190</v>
      </c>
      <c r="E31" s="18" t="s">
        <v>203</v>
      </c>
      <c r="F31" s="7"/>
      <c r="G31" s="49"/>
      <c r="H31" s="38">
        <f>H32</f>
        <v>9307.5</v>
      </c>
      <c r="I31" s="204"/>
    </row>
    <row r="32" spans="1:9" ht="15.75">
      <c r="A32" s="8" t="s">
        <v>146</v>
      </c>
      <c r="B32" s="44" t="s">
        <v>86</v>
      </c>
      <c r="C32" s="20" t="s">
        <v>186</v>
      </c>
      <c r="D32" s="31" t="s">
        <v>190</v>
      </c>
      <c r="E32" s="20" t="s">
        <v>203</v>
      </c>
      <c r="F32" s="5" t="s">
        <v>49</v>
      </c>
      <c r="G32" s="49" t="s">
        <v>274</v>
      </c>
      <c r="H32" s="38">
        <f>26077+5000-3000-25925+7155.5</f>
        <v>9307.5</v>
      </c>
      <c r="I32" s="204"/>
    </row>
    <row r="33" spans="1:9" ht="15.75">
      <c r="A33" s="8" t="s">
        <v>131</v>
      </c>
      <c r="B33" s="44" t="s">
        <v>86</v>
      </c>
      <c r="C33" s="20" t="s">
        <v>186</v>
      </c>
      <c r="D33" s="31" t="s">
        <v>190</v>
      </c>
      <c r="E33" s="20" t="s">
        <v>132</v>
      </c>
      <c r="F33" s="5"/>
      <c r="G33" s="49"/>
      <c r="H33" s="38">
        <f>H34</f>
        <v>500</v>
      </c>
      <c r="I33" s="204"/>
    </row>
    <row r="34" spans="1:9" ht="26.25">
      <c r="A34" s="113" t="s">
        <v>340</v>
      </c>
      <c r="B34" s="44" t="s">
        <v>86</v>
      </c>
      <c r="C34" s="20" t="s">
        <v>186</v>
      </c>
      <c r="D34" s="31" t="s">
        <v>190</v>
      </c>
      <c r="E34" s="20" t="s">
        <v>341</v>
      </c>
      <c r="F34" s="5"/>
      <c r="G34" s="49"/>
      <c r="H34" s="38">
        <f>H35</f>
        <v>500</v>
      </c>
      <c r="I34" s="204"/>
    </row>
    <row r="35" spans="1:9" ht="15.75">
      <c r="A35" s="66" t="s">
        <v>146</v>
      </c>
      <c r="B35" s="44" t="s">
        <v>86</v>
      </c>
      <c r="C35" s="20" t="s">
        <v>186</v>
      </c>
      <c r="D35" s="31" t="s">
        <v>190</v>
      </c>
      <c r="E35" s="20" t="s">
        <v>341</v>
      </c>
      <c r="F35" s="5"/>
      <c r="G35" s="49" t="s">
        <v>274</v>
      </c>
      <c r="H35" s="38">
        <f>5000-2000-2500</f>
        <v>500</v>
      </c>
      <c r="I35" s="204"/>
    </row>
    <row r="36" spans="1:9" ht="15.75">
      <c r="A36" s="112" t="s">
        <v>81</v>
      </c>
      <c r="B36" s="98" t="s">
        <v>86</v>
      </c>
      <c r="C36" s="95" t="s">
        <v>187</v>
      </c>
      <c r="D36" s="181" t="s">
        <v>126</v>
      </c>
      <c r="E36" s="94"/>
      <c r="F36" s="92"/>
      <c r="G36" s="88"/>
      <c r="H36" s="79">
        <f aca="true" t="shared" si="2" ref="H36:I39">H37</f>
        <v>179.29999999999995</v>
      </c>
      <c r="I36" s="79">
        <f t="shared" si="2"/>
        <v>0</v>
      </c>
    </row>
    <row r="37" spans="1:9" ht="15.75">
      <c r="A37" s="27" t="s">
        <v>82</v>
      </c>
      <c r="B37" s="42" t="s">
        <v>86</v>
      </c>
      <c r="C37" s="22" t="s">
        <v>187</v>
      </c>
      <c r="D37" s="29" t="s">
        <v>188</v>
      </c>
      <c r="E37" s="15"/>
      <c r="F37" s="10"/>
      <c r="G37" s="53"/>
      <c r="H37" s="37">
        <f t="shared" si="2"/>
        <v>179.29999999999995</v>
      </c>
      <c r="I37" s="37">
        <f t="shared" si="2"/>
        <v>0</v>
      </c>
    </row>
    <row r="38" spans="1:9" ht="26.25">
      <c r="A38" s="47" t="s">
        <v>104</v>
      </c>
      <c r="B38" s="43" t="s">
        <v>86</v>
      </c>
      <c r="C38" s="18" t="s">
        <v>187</v>
      </c>
      <c r="D38" s="30" t="s">
        <v>188</v>
      </c>
      <c r="E38" s="18" t="s">
        <v>83</v>
      </c>
      <c r="F38" s="30"/>
      <c r="G38" s="49"/>
      <c r="H38" s="38">
        <f t="shared" si="2"/>
        <v>179.29999999999995</v>
      </c>
      <c r="I38" s="38">
        <f t="shared" si="2"/>
        <v>0</v>
      </c>
    </row>
    <row r="39" spans="1:9" ht="16.5" customHeight="1">
      <c r="A39" s="101" t="s">
        <v>105</v>
      </c>
      <c r="B39" s="43" t="s">
        <v>86</v>
      </c>
      <c r="C39" s="18" t="s">
        <v>187</v>
      </c>
      <c r="D39" s="30" t="s">
        <v>188</v>
      </c>
      <c r="E39" s="18" t="s">
        <v>151</v>
      </c>
      <c r="F39" s="30"/>
      <c r="G39" s="49"/>
      <c r="H39" s="38">
        <f t="shared" si="2"/>
        <v>179.29999999999995</v>
      </c>
      <c r="I39" s="38">
        <f t="shared" si="2"/>
        <v>0</v>
      </c>
    </row>
    <row r="40" spans="1:9" ht="15.75">
      <c r="A40" s="66" t="s">
        <v>146</v>
      </c>
      <c r="B40" s="44" t="s">
        <v>86</v>
      </c>
      <c r="C40" s="20" t="s">
        <v>187</v>
      </c>
      <c r="D40" s="31" t="s">
        <v>188</v>
      </c>
      <c r="E40" s="20" t="s">
        <v>151</v>
      </c>
      <c r="F40" s="31"/>
      <c r="G40" s="53" t="s">
        <v>274</v>
      </c>
      <c r="H40" s="36">
        <f>1223+0.3-1000-44</f>
        <v>179.29999999999995</v>
      </c>
      <c r="I40" s="203"/>
    </row>
    <row r="41" spans="1:9" ht="15.75">
      <c r="A41" s="112" t="s">
        <v>115</v>
      </c>
      <c r="B41" s="98" t="s">
        <v>86</v>
      </c>
      <c r="C41" s="95" t="s">
        <v>191</v>
      </c>
      <c r="D41" s="181" t="s">
        <v>126</v>
      </c>
      <c r="E41" s="94"/>
      <c r="F41" s="92"/>
      <c r="G41" s="88"/>
      <c r="H41" s="79">
        <f>H42+H49</f>
        <v>7344.4</v>
      </c>
      <c r="I41" s="79">
        <f>I42+I49</f>
        <v>0</v>
      </c>
    </row>
    <row r="42" spans="1:9" s="23" customFormat="1" ht="26.25">
      <c r="A42" s="175" t="s">
        <v>169</v>
      </c>
      <c r="B42" s="97" t="s">
        <v>86</v>
      </c>
      <c r="C42" s="95" t="s">
        <v>191</v>
      </c>
      <c r="D42" s="107" t="s">
        <v>192</v>
      </c>
      <c r="E42" s="95"/>
      <c r="F42" s="93"/>
      <c r="G42" s="90"/>
      <c r="H42" s="79">
        <f>H46+H43</f>
        <v>3715.3999999999996</v>
      </c>
      <c r="I42" s="79">
        <f>I46+I43</f>
        <v>0</v>
      </c>
    </row>
    <row r="43" spans="1:9" ht="29.25" customHeight="1">
      <c r="A43" s="65" t="s">
        <v>139</v>
      </c>
      <c r="B43" s="42" t="s">
        <v>86</v>
      </c>
      <c r="C43" s="22" t="s">
        <v>191</v>
      </c>
      <c r="D43" s="29" t="s">
        <v>192</v>
      </c>
      <c r="E43" s="22" t="s">
        <v>140</v>
      </c>
      <c r="F43" s="29" t="s">
        <v>49</v>
      </c>
      <c r="G43" s="89"/>
      <c r="H43" s="37">
        <f>H44</f>
        <v>2307.3999999999996</v>
      </c>
      <c r="I43" s="37">
        <f>I44</f>
        <v>0</v>
      </c>
    </row>
    <row r="44" spans="1:9" ht="28.5" customHeight="1">
      <c r="A44" s="65" t="s">
        <v>141</v>
      </c>
      <c r="B44" s="42" t="s">
        <v>86</v>
      </c>
      <c r="C44" s="22" t="s">
        <v>191</v>
      </c>
      <c r="D44" s="29" t="s">
        <v>192</v>
      </c>
      <c r="E44" s="22" t="s">
        <v>170</v>
      </c>
      <c r="F44" s="29" t="s">
        <v>142</v>
      </c>
      <c r="G44" s="89"/>
      <c r="H44" s="37">
        <f>H45</f>
        <v>2307.3999999999996</v>
      </c>
      <c r="I44" s="37">
        <f>I45</f>
        <v>0</v>
      </c>
    </row>
    <row r="45" spans="1:9" ht="15" customHeight="1">
      <c r="A45" s="66" t="s">
        <v>146</v>
      </c>
      <c r="B45" s="42" t="s">
        <v>86</v>
      </c>
      <c r="C45" s="22" t="s">
        <v>191</v>
      </c>
      <c r="D45" s="29" t="s">
        <v>192</v>
      </c>
      <c r="E45" s="22" t="s">
        <v>170</v>
      </c>
      <c r="F45" s="29"/>
      <c r="G45" s="89" t="s">
        <v>274</v>
      </c>
      <c r="H45" s="37">
        <f>1521+724.2-84.5+146.7</f>
        <v>2307.3999999999996</v>
      </c>
      <c r="I45" s="37"/>
    </row>
    <row r="46" spans="1:9" ht="15.75">
      <c r="A46" s="25" t="s">
        <v>21</v>
      </c>
      <c r="B46" s="43" t="s">
        <v>86</v>
      </c>
      <c r="C46" s="18" t="s">
        <v>191</v>
      </c>
      <c r="D46" s="30" t="s">
        <v>192</v>
      </c>
      <c r="E46" s="18" t="s">
        <v>22</v>
      </c>
      <c r="F46" s="30"/>
      <c r="G46" s="80"/>
      <c r="H46" s="38">
        <f>H47</f>
        <v>1408</v>
      </c>
      <c r="I46" s="38">
        <f>I47</f>
        <v>0</v>
      </c>
    </row>
    <row r="47" spans="1:9" ht="26.25">
      <c r="A47" s="47" t="s">
        <v>118</v>
      </c>
      <c r="B47" s="44" t="s">
        <v>86</v>
      </c>
      <c r="C47" s="20" t="s">
        <v>191</v>
      </c>
      <c r="D47" s="31" t="s">
        <v>192</v>
      </c>
      <c r="E47" s="18" t="s">
        <v>171</v>
      </c>
      <c r="F47" s="30"/>
      <c r="G47" s="56"/>
      <c r="H47" s="36">
        <f>H48</f>
        <v>1408</v>
      </c>
      <c r="I47" s="36">
        <f>I48</f>
        <v>0</v>
      </c>
    </row>
    <row r="48" spans="1:9" ht="15.75">
      <c r="A48" s="66" t="s">
        <v>146</v>
      </c>
      <c r="B48" s="43" t="s">
        <v>86</v>
      </c>
      <c r="C48" s="18" t="s">
        <v>191</v>
      </c>
      <c r="D48" s="30" t="s">
        <v>192</v>
      </c>
      <c r="E48" s="18" t="s">
        <v>171</v>
      </c>
      <c r="F48" s="30"/>
      <c r="G48" s="89" t="s">
        <v>274</v>
      </c>
      <c r="H48" s="38">
        <f>3908-2500</f>
        <v>1408</v>
      </c>
      <c r="I48" s="204"/>
    </row>
    <row r="49" spans="1:9" s="23" customFormat="1" ht="26.25">
      <c r="A49" s="120" t="s">
        <v>107</v>
      </c>
      <c r="B49" s="97" t="s">
        <v>86</v>
      </c>
      <c r="C49" s="17" t="s">
        <v>191</v>
      </c>
      <c r="D49" s="32" t="s">
        <v>190</v>
      </c>
      <c r="E49" s="17"/>
      <c r="F49" s="32"/>
      <c r="G49" s="119"/>
      <c r="H49" s="83">
        <f>H50+H53</f>
        <v>3629</v>
      </c>
      <c r="I49" s="83">
        <f>I50+I53</f>
        <v>0</v>
      </c>
    </row>
    <row r="50" spans="1:9" ht="26.25">
      <c r="A50" s="47" t="s">
        <v>108</v>
      </c>
      <c r="B50" s="44" t="s">
        <v>86</v>
      </c>
      <c r="C50" s="20" t="s">
        <v>191</v>
      </c>
      <c r="D50" s="31" t="s">
        <v>190</v>
      </c>
      <c r="E50" s="20" t="s">
        <v>84</v>
      </c>
      <c r="F50" s="5"/>
      <c r="G50" s="80"/>
      <c r="H50" s="36">
        <f>H51</f>
        <v>189</v>
      </c>
      <c r="I50" s="36">
        <f>I51</f>
        <v>0</v>
      </c>
    </row>
    <row r="51" spans="1:9" ht="15.75">
      <c r="A51" s="25" t="s">
        <v>27</v>
      </c>
      <c r="B51" s="44" t="s">
        <v>86</v>
      </c>
      <c r="C51" s="20" t="s">
        <v>191</v>
      </c>
      <c r="D51" s="31" t="s">
        <v>190</v>
      </c>
      <c r="E51" s="20" t="s">
        <v>174</v>
      </c>
      <c r="F51" s="5"/>
      <c r="G51" s="54"/>
      <c r="H51" s="36">
        <f>H52</f>
        <v>189</v>
      </c>
      <c r="I51" s="36">
        <f>I52</f>
        <v>0</v>
      </c>
    </row>
    <row r="52" spans="1:9" ht="15.75">
      <c r="A52" s="27" t="s">
        <v>146</v>
      </c>
      <c r="B52" s="44" t="s">
        <v>86</v>
      </c>
      <c r="C52" s="20" t="s">
        <v>191</v>
      </c>
      <c r="D52" s="31" t="s">
        <v>190</v>
      </c>
      <c r="E52" s="20" t="s">
        <v>174</v>
      </c>
      <c r="F52" s="5"/>
      <c r="G52" s="89" t="s">
        <v>274</v>
      </c>
      <c r="H52" s="36">
        <f>1338-1049-100</f>
        <v>189</v>
      </c>
      <c r="I52" s="203"/>
    </row>
    <row r="53" spans="1:9" ht="15.75">
      <c r="A53" s="8" t="s">
        <v>131</v>
      </c>
      <c r="B53" s="44" t="s">
        <v>86</v>
      </c>
      <c r="C53" s="20" t="s">
        <v>191</v>
      </c>
      <c r="D53" s="31" t="s">
        <v>190</v>
      </c>
      <c r="E53" s="20" t="s">
        <v>132</v>
      </c>
      <c r="F53" s="5"/>
      <c r="G53" s="116"/>
      <c r="H53" s="36">
        <f>H54</f>
        <v>3440</v>
      </c>
      <c r="I53" s="36">
        <f>I54</f>
        <v>0</v>
      </c>
    </row>
    <row r="54" spans="1:9" ht="41.25" customHeight="1">
      <c r="A54" s="101" t="s">
        <v>357</v>
      </c>
      <c r="B54" s="44" t="s">
        <v>86</v>
      </c>
      <c r="C54" s="20" t="s">
        <v>191</v>
      </c>
      <c r="D54" s="31" t="s">
        <v>190</v>
      </c>
      <c r="E54" s="20" t="s">
        <v>261</v>
      </c>
      <c r="F54" s="5"/>
      <c r="G54" s="116"/>
      <c r="H54" s="36">
        <f>H55</f>
        <v>3440</v>
      </c>
      <c r="I54" s="36">
        <f>I55</f>
        <v>0</v>
      </c>
    </row>
    <row r="55" spans="1:9" ht="15.75">
      <c r="A55" s="27" t="s">
        <v>146</v>
      </c>
      <c r="B55" s="43" t="s">
        <v>86</v>
      </c>
      <c r="C55" s="20" t="s">
        <v>191</v>
      </c>
      <c r="D55" s="31" t="s">
        <v>190</v>
      </c>
      <c r="E55" s="20" t="s">
        <v>261</v>
      </c>
      <c r="F55" s="5"/>
      <c r="G55" s="116" t="s">
        <v>274</v>
      </c>
      <c r="H55" s="36">
        <f>4440-1000</f>
        <v>3440</v>
      </c>
      <c r="I55" s="203"/>
    </row>
    <row r="56" spans="1:9" ht="15.75">
      <c r="A56" s="112" t="s">
        <v>65</v>
      </c>
      <c r="B56" s="98" t="s">
        <v>86</v>
      </c>
      <c r="C56" s="95" t="s">
        <v>188</v>
      </c>
      <c r="D56" s="107" t="s">
        <v>126</v>
      </c>
      <c r="E56" s="95"/>
      <c r="F56" s="93"/>
      <c r="G56" s="90"/>
      <c r="H56" s="79">
        <f>H57+H62+H70</f>
        <v>29139.7</v>
      </c>
      <c r="I56" s="79">
        <f>I57+I62+I70</f>
        <v>2564</v>
      </c>
    </row>
    <row r="57" spans="1:9" s="23" customFormat="1" ht="15.75">
      <c r="A57" s="106" t="s">
        <v>98</v>
      </c>
      <c r="B57" s="97" t="s">
        <v>86</v>
      </c>
      <c r="C57" s="17" t="s">
        <v>188</v>
      </c>
      <c r="D57" s="32" t="s">
        <v>195</v>
      </c>
      <c r="E57" s="17"/>
      <c r="F57" s="32"/>
      <c r="G57" s="119"/>
      <c r="H57" s="83">
        <f aca="true" t="shared" si="3" ref="H57:I60">H58</f>
        <v>19496</v>
      </c>
      <c r="I57" s="83">
        <f t="shared" si="3"/>
        <v>0</v>
      </c>
    </row>
    <row r="58" spans="1:9" ht="15.75">
      <c r="A58" s="25" t="s">
        <v>175</v>
      </c>
      <c r="B58" s="43" t="s">
        <v>86</v>
      </c>
      <c r="C58" s="22" t="s">
        <v>188</v>
      </c>
      <c r="D58" s="29" t="s">
        <v>195</v>
      </c>
      <c r="E58" s="18" t="s">
        <v>176</v>
      </c>
      <c r="F58" s="30"/>
      <c r="G58" s="80"/>
      <c r="H58" s="38">
        <f t="shared" si="3"/>
        <v>19496</v>
      </c>
      <c r="I58" s="38">
        <f t="shared" si="3"/>
        <v>0</v>
      </c>
    </row>
    <row r="59" spans="1:9" ht="15.75">
      <c r="A59" s="25" t="s">
        <v>177</v>
      </c>
      <c r="B59" s="43" t="s">
        <v>86</v>
      </c>
      <c r="C59" s="22" t="s">
        <v>188</v>
      </c>
      <c r="D59" s="29" t="s">
        <v>195</v>
      </c>
      <c r="E59" s="18" t="s">
        <v>178</v>
      </c>
      <c r="F59" s="30"/>
      <c r="G59" s="56"/>
      <c r="H59" s="38">
        <f t="shared" si="3"/>
        <v>19496</v>
      </c>
      <c r="I59" s="38">
        <f t="shared" si="3"/>
        <v>0</v>
      </c>
    </row>
    <row r="60" spans="1:9" ht="39">
      <c r="A60" s="101" t="s">
        <v>179</v>
      </c>
      <c r="B60" s="42" t="s">
        <v>86</v>
      </c>
      <c r="C60" s="22" t="s">
        <v>188</v>
      </c>
      <c r="D60" s="29" t="s">
        <v>195</v>
      </c>
      <c r="E60" s="18" t="s">
        <v>180</v>
      </c>
      <c r="F60" s="30" t="s">
        <v>49</v>
      </c>
      <c r="G60" s="80"/>
      <c r="H60" s="37">
        <f t="shared" si="3"/>
        <v>19496</v>
      </c>
      <c r="I60" s="37">
        <f t="shared" si="3"/>
        <v>0</v>
      </c>
    </row>
    <row r="61" spans="1:9" ht="15.75">
      <c r="A61" s="27" t="s">
        <v>181</v>
      </c>
      <c r="B61" s="42" t="s">
        <v>86</v>
      </c>
      <c r="C61" s="22" t="s">
        <v>188</v>
      </c>
      <c r="D61" s="29" t="s">
        <v>195</v>
      </c>
      <c r="E61" s="18" t="s">
        <v>180</v>
      </c>
      <c r="F61" s="30" t="s">
        <v>143</v>
      </c>
      <c r="G61" s="116" t="s">
        <v>87</v>
      </c>
      <c r="H61" s="37">
        <f>17928+1568</f>
        <v>19496</v>
      </c>
      <c r="I61" s="37"/>
    </row>
    <row r="62" spans="1:9" s="23" customFormat="1" ht="15.75">
      <c r="A62" s="106" t="s">
        <v>99</v>
      </c>
      <c r="B62" s="97" t="s">
        <v>86</v>
      </c>
      <c r="C62" s="17" t="s">
        <v>188</v>
      </c>
      <c r="D62" s="32" t="s">
        <v>192</v>
      </c>
      <c r="E62" s="95"/>
      <c r="F62" s="107"/>
      <c r="G62" s="222"/>
      <c r="H62" s="83">
        <f>H63</f>
        <v>6060.900000000001</v>
      </c>
      <c r="I62" s="83">
        <f>I63</f>
        <v>2564</v>
      </c>
    </row>
    <row r="63" spans="1:9" ht="15.75">
      <c r="A63" s="27" t="s">
        <v>99</v>
      </c>
      <c r="B63" s="42" t="s">
        <v>86</v>
      </c>
      <c r="C63" s="22" t="s">
        <v>188</v>
      </c>
      <c r="D63" s="29" t="s">
        <v>192</v>
      </c>
      <c r="E63" s="18" t="s">
        <v>196</v>
      </c>
      <c r="F63" s="30"/>
      <c r="G63" s="116"/>
      <c r="H63" s="37">
        <f>H67+H64</f>
        <v>6060.900000000001</v>
      </c>
      <c r="I63" s="37">
        <f>I67+I64</f>
        <v>2564</v>
      </c>
    </row>
    <row r="64" spans="1:9" ht="15.75">
      <c r="A64" s="27" t="s">
        <v>414</v>
      </c>
      <c r="B64" s="42" t="s">
        <v>86</v>
      </c>
      <c r="C64" s="22" t="s">
        <v>188</v>
      </c>
      <c r="D64" s="29" t="s">
        <v>192</v>
      </c>
      <c r="E64" s="18" t="s">
        <v>415</v>
      </c>
      <c r="F64" s="30"/>
      <c r="G64" s="116"/>
      <c r="H64" s="37">
        <f>H65</f>
        <v>2564</v>
      </c>
      <c r="I64" s="37">
        <f>I65</f>
        <v>2564</v>
      </c>
    </row>
    <row r="65" spans="1:9" ht="15.75">
      <c r="A65" s="27" t="s">
        <v>416</v>
      </c>
      <c r="B65" s="42" t="s">
        <v>86</v>
      </c>
      <c r="C65" s="22" t="s">
        <v>188</v>
      </c>
      <c r="D65" s="29" t="s">
        <v>192</v>
      </c>
      <c r="E65" s="18" t="s">
        <v>417</v>
      </c>
      <c r="F65" s="30"/>
      <c r="G65" s="116"/>
      <c r="H65" s="37">
        <f>H66</f>
        <v>2564</v>
      </c>
      <c r="I65" s="37">
        <f>I66</f>
        <v>2564</v>
      </c>
    </row>
    <row r="66" spans="1:9" ht="15.75">
      <c r="A66" s="27" t="s">
        <v>418</v>
      </c>
      <c r="B66" s="42" t="s">
        <v>86</v>
      </c>
      <c r="C66" s="22" t="s">
        <v>188</v>
      </c>
      <c r="D66" s="29" t="s">
        <v>192</v>
      </c>
      <c r="E66" s="18" t="s">
        <v>417</v>
      </c>
      <c r="F66" s="30" t="s">
        <v>419</v>
      </c>
      <c r="G66" s="116" t="s">
        <v>419</v>
      </c>
      <c r="H66" s="37">
        <f>3966-1402</f>
        <v>2564</v>
      </c>
      <c r="I66" s="37">
        <f>3966-1402</f>
        <v>2564</v>
      </c>
    </row>
    <row r="67" spans="1:9" ht="15.75">
      <c r="A67" s="27" t="s">
        <v>197</v>
      </c>
      <c r="B67" s="42" t="s">
        <v>86</v>
      </c>
      <c r="C67" s="22" t="s">
        <v>188</v>
      </c>
      <c r="D67" s="29" t="s">
        <v>192</v>
      </c>
      <c r="E67" s="18" t="s">
        <v>199</v>
      </c>
      <c r="F67" s="30"/>
      <c r="G67" s="116"/>
      <c r="H67" s="37">
        <f>H68</f>
        <v>3496.9000000000005</v>
      </c>
      <c r="I67" s="37">
        <f>I69</f>
        <v>0</v>
      </c>
    </row>
    <row r="68" spans="1:9" ht="15.75">
      <c r="A68" s="27" t="s">
        <v>309</v>
      </c>
      <c r="B68" s="42" t="s">
        <v>86</v>
      </c>
      <c r="C68" s="22" t="s">
        <v>188</v>
      </c>
      <c r="D68" s="29" t="s">
        <v>192</v>
      </c>
      <c r="E68" s="18" t="s">
        <v>310</v>
      </c>
      <c r="F68" s="30"/>
      <c r="G68" s="124"/>
      <c r="H68" s="37">
        <f>H69</f>
        <v>3496.9000000000005</v>
      </c>
      <c r="I68" s="37"/>
    </row>
    <row r="69" spans="1:9" ht="15.75">
      <c r="A69" s="27" t="s">
        <v>311</v>
      </c>
      <c r="B69" s="42" t="s">
        <v>86</v>
      </c>
      <c r="C69" s="22" t="s">
        <v>188</v>
      </c>
      <c r="D69" s="29" t="s">
        <v>192</v>
      </c>
      <c r="E69" s="18" t="s">
        <v>310</v>
      </c>
      <c r="F69" s="30"/>
      <c r="G69" s="105" t="s">
        <v>127</v>
      </c>
      <c r="H69" s="37">
        <f>4594+516+6563-516-6000+32.1-4000+2307.8</f>
        <v>3496.9000000000005</v>
      </c>
      <c r="I69" s="37"/>
    </row>
    <row r="70" spans="1:9" s="23" customFormat="1" ht="15.75">
      <c r="A70" s="106" t="s">
        <v>66</v>
      </c>
      <c r="B70" s="97" t="s">
        <v>86</v>
      </c>
      <c r="C70" s="17" t="s">
        <v>188</v>
      </c>
      <c r="D70" s="32" t="s">
        <v>189</v>
      </c>
      <c r="E70" s="95"/>
      <c r="F70" s="107"/>
      <c r="G70" s="125"/>
      <c r="H70" s="83">
        <f>H73+H76+H71</f>
        <v>3582.8</v>
      </c>
      <c r="I70" s="83">
        <f>I73+I76</f>
        <v>0</v>
      </c>
    </row>
    <row r="71" spans="1:9" s="23" customFormat="1" ht="30.75" customHeight="1">
      <c r="A71" s="35" t="s">
        <v>407</v>
      </c>
      <c r="B71" s="42" t="s">
        <v>86</v>
      </c>
      <c r="C71" s="22" t="s">
        <v>188</v>
      </c>
      <c r="D71" s="29" t="s">
        <v>189</v>
      </c>
      <c r="E71" s="18" t="s">
        <v>408</v>
      </c>
      <c r="F71" s="107"/>
      <c r="G71" s="235"/>
      <c r="H71" s="37">
        <f>H72</f>
        <v>2198.5</v>
      </c>
      <c r="I71" s="37"/>
    </row>
    <row r="72" spans="1:9" s="23" customFormat="1" ht="15.75">
      <c r="A72" s="27" t="s">
        <v>146</v>
      </c>
      <c r="B72" s="42" t="s">
        <v>86</v>
      </c>
      <c r="C72" s="22" t="s">
        <v>188</v>
      </c>
      <c r="D72" s="29" t="s">
        <v>189</v>
      </c>
      <c r="E72" s="18" t="s">
        <v>408</v>
      </c>
      <c r="F72" s="107" t="s">
        <v>274</v>
      </c>
      <c r="G72" s="235" t="s">
        <v>274</v>
      </c>
      <c r="H72" s="37">
        <f>4341.3+165-2307.8</f>
        <v>2198.5</v>
      </c>
      <c r="I72" s="37"/>
    </row>
    <row r="73" spans="1:9" ht="26.25">
      <c r="A73" s="47" t="s">
        <v>109</v>
      </c>
      <c r="B73" s="43" t="s">
        <v>86</v>
      </c>
      <c r="C73" s="22" t="s">
        <v>188</v>
      </c>
      <c r="D73" s="30" t="s">
        <v>189</v>
      </c>
      <c r="E73" s="18" t="s">
        <v>76</v>
      </c>
      <c r="F73" s="30"/>
      <c r="G73" s="80"/>
      <c r="H73" s="38">
        <f>H74</f>
        <v>1021.9999999999999</v>
      </c>
      <c r="I73" s="38">
        <f>I75</f>
        <v>0</v>
      </c>
    </row>
    <row r="74" spans="1:9" ht="15.75">
      <c r="A74" s="35" t="s">
        <v>335</v>
      </c>
      <c r="B74" s="44" t="s">
        <v>86</v>
      </c>
      <c r="C74" s="22" t="s">
        <v>188</v>
      </c>
      <c r="D74" s="31" t="s">
        <v>189</v>
      </c>
      <c r="E74" s="20" t="s">
        <v>336</v>
      </c>
      <c r="F74" s="31"/>
      <c r="G74" s="116"/>
      <c r="H74" s="36">
        <f>H75</f>
        <v>1021.9999999999999</v>
      </c>
      <c r="I74" s="36"/>
    </row>
    <row r="75" spans="1:9" ht="15.75">
      <c r="A75" s="66" t="s">
        <v>146</v>
      </c>
      <c r="B75" s="44" t="s">
        <v>86</v>
      </c>
      <c r="C75" s="22" t="s">
        <v>188</v>
      </c>
      <c r="D75" s="31" t="s">
        <v>189</v>
      </c>
      <c r="E75" s="20" t="s">
        <v>336</v>
      </c>
      <c r="F75" s="31"/>
      <c r="G75" s="116" t="s">
        <v>274</v>
      </c>
      <c r="H75" s="36">
        <f>322+500+200+49.6-49.6</f>
        <v>1021.9999999999999</v>
      </c>
      <c r="I75" s="203"/>
    </row>
    <row r="76" spans="1:9" ht="15.75">
      <c r="A76" s="66" t="s">
        <v>131</v>
      </c>
      <c r="B76" s="44" t="s">
        <v>86</v>
      </c>
      <c r="C76" s="22" t="s">
        <v>188</v>
      </c>
      <c r="D76" s="31" t="s">
        <v>189</v>
      </c>
      <c r="E76" s="20" t="s">
        <v>132</v>
      </c>
      <c r="F76" s="31"/>
      <c r="G76" s="116"/>
      <c r="H76" s="36">
        <f>H77</f>
        <v>362.3</v>
      </c>
      <c r="I76" s="203"/>
    </row>
    <row r="77" spans="1:9" ht="39">
      <c r="A77" s="65" t="s">
        <v>360</v>
      </c>
      <c r="B77" s="44" t="s">
        <v>86</v>
      </c>
      <c r="C77" s="22" t="s">
        <v>188</v>
      </c>
      <c r="D77" s="31" t="s">
        <v>189</v>
      </c>
      <c r="E77" s="20" t="s">
        <v>290</v>
      </c>
      <c r="F77" s="31"/>
      <c r="G77" s="116"/>
      <c r="H77" s="36">
        <f>H78</f>
        <v>362.3</v>
      </c>
      <c r="I77" s="203"/>
    </row>
    <row r="78" spans="1:9" ht="15.75">
      <c r="A78" s="66" t="s">
        <v>146</v>
      </c>
      <c r="B78" s="44" t="s">
        <v>86</v>
      </c>
      <c r="C78" s="22" t="s">
        <v>188</v>
      </c>
      <c r="D78" s="31" t="s">
        <v>189</v>
      </c>
      <c r="E78" s="20" t="s">
        <v>290</v>
      </c>
      <c r="F78" s="31" t="s">
        <v>274</v>
      </c>
      <c r="G78" s="116" t="s">
        <v>274</v>
      </c>
      <c r="H78" s="36">
        <f>2000-1000-1000+362.3</f>
        <v>362.3</v>
      </c>
      <c r="I78" s="203"/>
    </row>
    <row r="79" spans="1:9" s="23" customFormat="1" ht="15.75">
      <c r="A79" s="112" t="s">
        <v>23</v>
      </c>
      <c r="B79" s="98" t="s">
        <v>86</v>
      </c>
      <c r="C79" s="95" t="s">
        <v>200</v>
      </c>
      <c r="D79" s="107" t="s">
        <v>126</v>
      </c>
      <c r="E79" s="95"/>
      <c r="F79" s="93"/>
      <c r="G79" s="90"/>
      <c r="H79" s="79">
        <f>H80+H95+H117</f>
        <v>408866.2</v>
      </c>
      <c r="I79" s="79">
        <f>I80+I95+I117</f>
        <v>193393.3</v>
      </c>
    </row>
    <row r="80" spans="1:9" s="23" customFormat="1" ht="15.75">
      <c r="A80" s="8" t="s">
        <v>70</v>
      </c>
      <c r="B80" s="43" t="s">
        <v>86</v>
      </c>
      <c r="C80" s="18" t="s">
        <v>200</v>
      </c>
      <c r="D80" s="30" t="s">
        <v>186</v>
      </c>
      <c r="E80" s="18"/>
      <c r="F80" s="7"/>
      <c r="G80" s="49"/>
      <c r="H80" s="38">
        <f>H88+H81+H92</f>
        <v>221071.7</v>
      </c>
      <c r="I80" s="38">
        <f>I88+I81</f>
        <v>139220</v>
      </c>
    </row>
    <row r="81" spans="1:9" s="23" customFormat="1" ht="39">
      <c r="A81" s="220" t="s">
        <v>364</v>
      </c>
      <c r="B81" s="43" t="s">
        <v>86</v>
      </c>
      <c r="C81" s="18" t="s">
        <v>200</v>
      </c>
      <c r="D81" s="30" t="s">
        <v>186</v>
      </c>
      <c r="E81" s="22" t="s">
        <v>365</v>
      </c>
      <c r="F81" s="29"/>
      <c r="G81" s="116"/>
      <c r="H81" s="38">
        <f>H82+H85</f>
        <v>56329</v>
      </c>
      <c r="I81" s="38">
        <f>I82+I85</f>
        <v>24965</v>
      </c>
    </row>
    <row r="82" spans="1:9" s="23" customFormat="1" ht="64.5">
      <c r="A82" s="220" t="s">
        <v>366</v>
      </c>
      <c r="B82" s="43" t="s">
        <v>86</v>
      </c>
      <c r="C82" s="18" t="s">
        <v>200</v>
      </c>
      <c r="D82" s="30" t="s">
        <v>186</v>
      </c>
      <c r="E82" s="22" t="s">
        <v>367</v>
      </c>
      <c r="F82" s="29"/>
      <c r="G82" s="116"/>
      <c r="H82" s="38">
        <f>H83</f>
        <v>37382</v>
      </c>
      <c r="I82" s="38">
        <f>I83</f>
        <v>21700</v>
      </c>
    </row>
    <row r="83" spans="1:9" s="23" customFormat="1" ht="26.25">
      <c r="A83" s="220" t="s">
        <v>368</v>
      </c>
      <c r="B83" s="43" t="s">
        <v>86</v>
      </c>
      <c r="C83" s="18" t="s">
        <v>200</v>
      </c>
      <c r="D83" s="30" t="s">
        <v>186</v>
      </c>
      <c r="E83" s="22" t="s">
        <v>369</v>
      </c>
      <c r="F83" s="29"/>
      <c r="G83" s="116"/>
      <c r="H83" s="38">
        <f>H84</f>
        <v>37382</v>
      </c>
      <c r="I83" s="38">
        <f>I84</f>
        <v>21700</v>
      </c>
    </row>
    <row r="84" spans="1:9" s="23" customFormat="1" ht="15.75">
      <c r="A84" s="221" t="s">
        <v>370</v>
      </c>
      <c r="B84" s="43" t="s">
        <v>86</v>
      </c>
      <c r="C84" s="18" t="s">
        <v>200</v>
      </c>
      <c r="D84" s="30" t="s">
        <v>186</v>
      </c>
      <c r="E84" s="22" t="s">
        <v>369</v>
      </c>
      <c r="F84" s="29" t="s">
        <v>371</v>
      </c>
      <c r="G84" s="116" t="s">
        <v>371</v>
      </c>
      <c r="H84" s="38">
        <f>15682+21699.4+0.6</f>
        <v>37382</v>
      </c>
      <c r="I84" s="38">
        <f>21699.4+0.6</f>
        <v>21700</v>
      </c>
    </row>
    <row r="85" spans="1:9" s="23" customFormat="1" ht="39">
      <c r="A85" s="220" t="s">
        <v>372</v>
      </c>
      <c r="B85" s="43" t="s">
        <v>86</v>
      </c>
      <c r="C85" s="18" t="s">
        <v>200</v>
      </c>
      <c r="D85" s="30" t="s">
        <v>186</v>
      </c>
      <c r="E85" s="22" t="s">
        <v>373</v>
      </c>
      <c r="F85" s="29"/>
      <c r="G85" s="116"/>
      <c r="H85" s="38">
        <f>H86</f>
        <v>18947</v>
      </c>
      <c r="I85" s="38">
        <f>I86</f>
        <v>3265</v>
      </c>
    </row>
    <row r="86" spans="1:9" s="23" customFormat="1" ht="26.25">
      <c r="A86" s="220" t="s">
        <v>374</v>
      </c>
      <c r="B86" s="43" t="s">
        <v>86</v>
      </c>
      <c r="C86" s="18" t="s">
        <v>200</v>
      </c>
      <c r="D86" s="30" t="s">
        <v>186</v>
      </c>
      <c r="E86" s="22" t="s">
        <v>375</v>
      </c>
      <c r="F86" s="29"/>
      <c r="G86" s="116"/>
      <c r="H86" s="38">
        <f>H87</f>
        <v>18947</v>
      </c>
      <c r="I86" s="38">
        <f>I87</f>
        <v>3265</v>
      </c>
    </row>
    <row r="87" spans="1:9" s="23" customFormat="1" ht="15.75">
      <c r="A87" s="221" t="s">
        <v>370</v>
      </c>
      <c r="B87" s="43" t="s">
        <v>86</v>
      </c>
      <c r="C87" s="18" t="s">
        <v>200</v>
      </c>
      <c r="D87" s="30" t="s">
        <v>186</v>
      </c>
      <c r="E87" s="22" t="s">
        <v>375</v>
      </c>
      <c r="F87" s="29" t="s">
        <v>371</v>
      </c>
      <c r="G87" s="116" t="s">
        <v>371</v>
      </c>
      <c r="H87" s="38">
        <f>15682+707.2+3265+572.9+7.8-1287.9</f>
        <v>18947</v>
      </c>
      <c r="I87" s="38">
        <v>3265</v>
      </c>
    </row>
    <row r="88" spans="1:9" s="23" customFormat="1" ht="15.75">
      <c r="A88" s="25" t="s">
        <v>24</v>
      </c>
      <c r="B88" s="43" t="s">
        <v>86</v>
      </c>
      <c r="C88" s="18" t="s">
        <v>200</v>
      </c>
      <c r="D88" s="30" t="s">
        <v>186</v>
      </c>
      <c r="E88" s="18" t="s">
        <v>25</v>
      </c>
      <c r="F88" s="30"/>
      <c r="G88" s="80"/>
      <c r="H88" s="38">
        <f>H89</f>
        <v>164442.7</v>
      </c>
      <c r="I88" s="38">
        <f>I89</f>
        <v>114255</v>
      </c>
    </row>
    <row r="89" spans="1:9" s="23" customFormat="1" ht="15.75">
      <c r="A89" s="47" t="s">
        <v>201</v>
      </c>
      <c r="B89" s="43" t="s">
        <v>86</v>
      </c>
      <c r="C89" s="18" t="s">
        <v>200</v>
      </c>
      <c r="D89" s="30" t="s">
        <v>186</v>
      </c>
      <c r="E89" s="18" t="s">
        <v>202</v>
      </c>
      <c r="F89" s="30"/>
      <c r="G89" s="80"/>
      <c r="H89" s="38">
        <f>H90+H91</f>
        <v>164442.7</v>
      </c>
      <c r="I89" s="38">
        <f>I90</f>
        <v>114255</v>
      </c>
    </row>
    <row r="90" spans="1:9" s="23" customFormat="1" ht="15.75">
      <c r="A90" s="66" t="s">
        <v>181</v>
      </c>
      <c r="B90" s="43" t="s">
        <v>86</v>
      </c>
      <c r="C90" s="18" t="s">
        <v>200</v>
      </c>
      <c r="D90" s="30" t="s">
        <v>186</v>
      </c>
      <c r="E90" s="18" t="s">
        <v>202</v>
      </c>
      <c r="F90" s="30"/>
      <c r="G90" s="80" t="s">
        <v>87</v>
      </c>
      <c r="H90" s="38">
        <f>14679+25000+27285-10000-25000+5085.8+54971.4-17285-20294.6-5000+114255-572.9-7.8+1287.9-63.6-300</f>
        <v>164040.2</v>
      </c>
      <c r="I90" s="38">
        <v>114255</v>
      </c>
    </row>
    <row r="91" spans="1:9" s="23" customFormat="1" ht="15.75">
      <c r="A91" s="66" t="s">
        <v>146</v>
      </c>
      <c r="B91" s="43" t="s">
        <v>86</v>
      </c>
      <c r="C91" s="18" t="s">
        <v>200</v>
      </c>
      <c r="D91" s="30" t="s">
        <v>186</v>
      </c>
      <c r="E91" s="18" t="s">
        <v>202</v>
      </c>
      <c r="F91" s="30"/>
      <c r="G91" s="80" t="s">
        <v>274</v>
      </c>
      <c r="H91" s="38">
        <f>338.8-101.2-30.2+195.1</f>
        <v>402.5</v>
      </c>
      <c r="I91" s="38"/>
    </row>
    <row r="92" spans="1:9" s="23" customFormat="1" ht="15.75">
      <c r="A92" s="25" t="s">
        <v>131</v>
      </c>
      <c r="B92" s="43" t="s">
        <v>86</v>
      </c>
      <c r="C92" s="18" t="s">
        <v>200</v>
      </c>
      <c r="D92" s="30" t="s">
        <v>186</v>
      </c>
      <c r="E92" s="18" t="s">
        <v>132</v>
      </c>
      <c r="F92" s="30"/>
      <c r="G92" s="80"/>
      <c r="H92" s="38">
        <f>H93</f>
        <v>300</v>
      </c>
      <c r="I92" s="38"/>
    </row>
    <row r="93" spans="1:9" s="23" customFormat="1" ht="39">
      <c r="A93" s="65" t="s">
        <v>451</v>
      </c>
      <c r="B93" s="43" t="s">
        <v>86</v>
      </c>
      <c r="C93" s="18" t="s">
        <v>200</v>
      </c>
      <c r="D93" s="30" t="s">
        <v>186</v>
      </c>
      <c r="E93" s="18" t="s">
        <v>452</v>
      </c>
      <c r="F93" s="30"/>
      <c r="G93" s="80"/>
      <c r="H93" s="38">
        <f>H94</f>
        <v>300</v>
      </c>
      <c r="I93" s="38"/>
    </row>
    <row r="94" spans="1:9" s="23" customFormat="1" ht="15.75">
      <c r="A94" s="66" t="s">
        <v>146</v>
      </c>
      <c r="B94" s="43" t="s">
        <v>86</v>
      </c>
      <c r="C94" s="18" t="s">
        <v>200</v>
      </c>
      <c r="D94" s="30" t="s">
        <v>186</v>
      </c>
      <c r="E94" s="18" t="s">
        <v>452</v>
      </c>
      <c r="F94" s="30" t="s">
        <v>274</v>
      </c>
      <c r="G94" s="80" t="s">
        <v>274</v>
      </c>
      <c r="H94" s="38">
        <v>300</v>
      </c>
      <c r="I94" s="38"/>
    </row>
    <row r="95" spans="1:9" s="23" customFormat="1" ht="15.75">
      <c r="A95" s="106" t="s">
        <v>3</v>
      </c>
      <c r="B95" s="98" t="s">
        <v>86</v>
      </c>
      <c r="C95" s="95" t="s">
        <v>200</v>
      </c>
      <c r="D95" s="107" t="s">
        <v>187</v>
      </c>
      <c r="E95" s="95"/>
      <c r="F95" s="107"/>
      <c r="G95" s="117"/>
      <c r="H95" s="79">
        <f>H100+H113+H105+H96</f>
        <v>127106.59999999999</v>
      </c>
      <c r="I95" s="79">
        <f>I100+I113+I105+I96</f>
        <v>54173.299999999996</v>
      </c>
    </row>
    <row r="96" spans="1:9" s="23" customFormat="1" ht="32.25" customHeight="1">
      <c r="A96" s="35" t="s">
        <v>206</v>
      </c>
      <c r="B96" s="42" t="s">
        <v>86</v>
      </c>
      <c r="C96" s="22" t="s">
        <v>200</v>
      </c>
      <c r="D96" s="29" t="s">
        <v>187</v>
      </c>
      <c r="E96" s="22" t="s">
        <v>71</v>
      </c>
      <c r="F96" s="29"/>
      <c r="G96" s="116"/>
      <c r="H96" s="38">
        <f>H97</f>
        <v>1409.5</v>
      </c>
      <c r="I96" s="79"/>
    </row>
    <row r="97" spans="1:9" s="23" customFormat="1" ht="55.5" customHeight="1">
      <c r="A97" s="35" t="s">
        <v>207</v>
      </c>
      <c r="B97" s="42" t="s">
        <v>86</v>
      </c>
      <c r="C97" s="22" t="s">
        <v>200</v>
      </c>
      <c r="D97" s="29" t="s">
        <v>187</v>
      </c>
      <c r="E97" s="22" t="s">
        <v>208</v>
      </c>
      <c r="F97" s="29"/>
      <c r="G97" s="116"/>
      <c r="H97" s="38">
        <f>H98</f>
        <v>1409.5</v>
      </c>
      <c r="I97" s="79"/>
    </row>
    <row r="98" spans="1:9" s="23" customFormat="1" ht="31.5" customHeight="1">
      <c r="A98" s="35" t="s">
        <v>409</v>
      </c>
      <c r="B98" s="42" t="s">
        <v>86</v>
      </c>
      <c r="C98" s="22" t="s">
        <v>200</v>
      </c>
      <c r="D98" s="29" t="s">
        <v>187</v>
      </c>
      <c r="E98" s="22" t="s">
        <v>243</v>
      </c>
      <c r="F98" s="29"/>
      <c r="G98" s="116"/>
      <c r="H98" s="38">
        <f>H99</f>
        <v>1409.5</v>
      </c>
      <c r="I98" s="79"/>
    </row>
    <row r="99" spans="1:9" s="23" customFormat="1" ht="15.75">
      <c r="A99" s="35" t="s">
        <v>410</v>
      </c>
      <c r="B99" s="42" t="s">
        <v>86</v>
      </c>
      <c r="C99" s="22" t="s">
        <v>200</v>
      </c>
      <c r="D99" s="29" t="s">
        <v>187</v>
      </c>
      <c r="E99" s="22" t="s">
        <v>243</v>
      </c>
      <c r="F99" s="29" t="s">
        <v>67</v>
      </c>
      <c r="G99" s="116" t="s">
        <v>67</v>
      </c>
      <c r="H99" s="38">
        <v>1409.5</v>
      </c>
      <c r="I99" s="79"/>
    </row>
    <row r="100" spans="1:9" s="23" customFormat="1" ht="15.75">
      <c r="A100" s="25" t="s">
        <v>54</v>
      </c>
      <c r="B100" s="43" t="s">
        <v>86</v>
      </c>
      <c r="C100" s="18" t="s">
        <v>200</v>
      </c>
      <c r="D100" s="30" t="s">
        <v>187</v>
      </c>
      <c r="E100" s="18" t="s">
        <v>75</v>
      </c>
      <c r="F100" s="30" t="s">
        <v>49</v>
      </c>
      <c r="G100" s="80"/>
      <c r="H100" s="38">
        <f>H101+H103+H104</f>
        <v>24148.6</v>
      </c>
      <c r="I100" s="38">
        <f>I101+I103+I104</f>
        <v>0</v>
      </c>
    </row>
    <row r="101" spans="1:9" ht="15.75">
      <c r="A101" s="261" t="s">
        <v>146</v>
      </c>
      <c r="B101" s="43" t="s">
        <v>86</v>
      </c>
      <c r="C101" s="18" t="s">
        <v>200</v>
      </c>
      <c r="D101" s="30" t="s">
        <v>187</v>
      </c>
      <c r="E101" s="18" t="s">
        <v>286</v>
      </c>
      <c r="F101" s="30"/>
      <c r="G101" s="80" t="s">
        <v>274</v>
      </c>
      <c r="H101" s="38">
        <v>1354</v>
      </c>
      <c r="I101" s="38"/>
    </row>
    <row r="102" spans="1:9" ht="15.75">
      <c r="A102" s="223" t="s">
        <v>351</v>
      </c>
      <c r="B102" s="43" t="s">
        <v>86</v>
      </c>
      <c r="C102" s="18" t="s">
        <v>200</v>
      </c>
      <c r="D102" s="30" t="s">
        <v>187</v>
      </c>
      <c r="E102" s="18" t="s">
        <v>352</v>
      </c>
      <c r="F102" s="30"/>
      <c r="G102" s="80"/>
      <c r="H102" s="38">
        <f>H103</f>
        <v>20294.6</v>
      </c>
      <c r="I102" s="38"/>
    </row>
    <row r="103" spans="1:9" ht="15.75">
      <c r="A103" s="35" t="s">
        <v>181</v>
      </c>
      <c r="B103" s="262" t="s">
        <v>86</v>
      </c>
      <c r="C103" s="263" t="s">
        <v>200</v>
      </c>
      <c r="D103" s="264" t="s">
        <v>187</v>
      </c>
      <c r="E103" s="263" t="s">
        <v>352</v>
      </c>
      <c r="F103" s="264" t="s">
        <v>274</v>
      </c>
      <c r="G103" s="265" t="s">
        <v>87</v>
      </c>
      <c r="H103" s="266">
        <f>1354+20294.6-1354</f>
        <v>20294.6</v>
      </c>
      <c r="I103" s="266"/>
    </row>
    <row r="104" spans="1:9" ht="15.75">
      <c r="A104" s="261" t="s">
        <v>146</v>
      </c>
      <c r="B104" s="262" t="s">
        <v>86</v>
      </c>
      <c r="C104" s="263" t="s">
        <v>200</v>
      </c>
      <c r="D104" s="264" t="s">
        <v>187</v>
      </c>
      <c r="E104" s="263" t="s">
        <v>352</v>
      </c>
      <c r="F104" s="264"/>
      <c r="G104" s="265" t="s">
        <v>274</v>
      </c>
      <c r="H104" s="266">
        <v>2500</v>
      </c>
      <c r="I104" s="266"/>
    </row>
    <row r="105" spans="1:9" ht="26.25">
      <c r="A105" s="46" t="s">
        <v>376</v>
      </c>
      <c r="B105" s="43" t="s">
        <v>86</v>
      </c>
      <c r="C105" s="18" t="s">
        <v>200</v>
      </c>
      <c r="D105" s="30" t="s">
        <v>187</v>
      </c>
      <c r="E105" s="18" t="s">
        <v>377</v>
      </c>
      <c r="F105" s="30"/>
      <c r="G105" s="80"/>
      <c r="H105" s="38">
        <f>H106</f>
        <v>77984.79999999999</v>
      </c>
      <c r="I105" s="38">
        <f>I106</f>
        <v>54173.299999999996</v>
      </c>
    </row>
    <row r="106" spans="1:9" ht="15.75">
      <c r="A106" s="223" t="s">
        <v>378</v>
      </c>
      <c r="B106" s="43" t="s">
        <v>86</v>
      </c>
      <c r="C106" s="18" t="s">
        <v>200</v>
      </c>
      <c r="D106" s="30" t="s">
        <v>187</v>
      </c>
      <c r="E106" s="18" t="s">
        <v>437</v>
      </c>
      <c r="F106" s="30"/>
      <c r="G106" s="80"/>
      <c r="H106" s="38">
        <f>H107+H110</f>
        <v>77984.79999999999</v>
      </c>
      <c r="I106" s="38">
        <f>I110</f>
        <v>54173.299999999996</v>
      </c>
    </row>
    <row r="107" spans="1:9" ht="15.75">
      <c r="A107" s="35" t="s">
        <v>445</v>
      </c>
      <c r="B107" s="43" t="s">
        <v>86</v>
      </c>
      <c r="C107" s="18" t="s">
        <v>200</v>
      </c>
      <c r="D107" s="30" t="s">
        <v>187</v>
      </c>
      <c r="E107" s="18" t="s">
        <v>437</v>
      </c>
      <c r="F107" s="30"/>
      <c r="G107" s="80" t="s">
        <v>67</v>
      </c>
      <c r="H107" s="38">
        <v>23811.5</v>
      </c>
      <c r="I107" s="38"/>
    </row>
    <row r="108" spans="1:9" ht="67.5" customHeight="1">
      <c r="A108" s="46" t="s">
        <v>434</v>
      </c>
      <c r="B108" s="43" t="s">
        <v>86</v>
      </c>
      <c r="C108" s="18" t="s">
        <v>200</v>
      </c>
      <c r="D108" s="30" t="s">
        <v>187</v>
      </c>
      <c r="E108" s="18" t="s">
        <v>437</v>
      </c>
      <c r="F108" s="30" t="s">
        <v>67</v>
      </c>
      <c r="G108" s="80" t="s">
        <v>67</v>
      </c>
      <c r="H108" s="38">
        <f>2100</f>
        <v>2100</v>
      </c>
      <c r="I108" s="38"/>
    </row>
    <row r="109" spans="1:9" ht="84" customHeight="1">
      <c r="A109" s="46" t="s">
        <v>436</v>
      </c>
      <c r="B109" s="43" t="s">
        <v>86</v>
      </c>
      <c r="C109" s="18" t="s">
        <v>200</v>
      </c>
      <c r="D109" s="30" t="s">
        <v>187</v>
      </c>
      <c r="E109" s="18" t="s">
        <v>444</v>
      </c>
      <c r="F109" s="30"/>
      <c r="G109" s="80" t="s">
        <v>67</v>
      </c>
      <c r="H109" s="38">
        <v>21711.5</v>
      </c>
      <c r="I109" s="38"/>
    </row>
    <row r="110" spans="1:9" ht="44.25" customHeight="1">
      <c r="A110" s="46" t="s">
        <v>446</v>
      </c>
      <c r="B110" s="43" t="s">
        <v>86</v>
      </c>
      <c r="C110" s="18" t="s">
        <v>200</v>
      </c>
      <c r="D110" s="30" t="s">
        <v>187</v>
      </c>
      <c r="E110" s="18" t="s">
        <v>437</v>
      </c>
      <c r="F110" s="30" t="s">
        <v>67</v>
      </c>
      <c r="G110" s="80" t="s">
        <v>435</v>
      </c>
      <c r="H110" s="38">
        <f>H111+H112</f>
        <v>54173.299999999996</v>
      </c>
      <c r="I110" s="38">
        <f>I111+I112</f>
        <v>54173.299999999996</v>
      </c>
    </row>
    <row r="111" spans="1:9" ht="71.25" customHeight="1">
      <c r="A111" s="46" t="s">
        <v>436</v>
      </c>
      <c r="B111" s="43" t="s">
        <v>86</v>
      </c>
      <c r="C111" s="18" t="s">
        <v>200</v>
      </c>
      <c r="D111" s="30" t="s">
        <v>187</v>
      </c>
      <c r="E111" s="18" t="s">
        <v>437</v>
      </c>
      <c r="F111" s="30" t="s">
        <v>67</v>
      </c>
      <c r="G111" s="80" t="s">
        <v>435</v>
      </c>
      <c r="H111" s="38">
        <f>10382.1</f>
        <v>10382.1</v>
      </c>
      <c r="I111" s="38">
        <v>10382.1</v>
      </c>
    </row>
    <row r="112" spans="1:9" ht="71.25" customHeight="1">
      <c r="A112" s="46" t="s">
        <v>434</v>
      </c>
      <c r="B112" s="43" t="s">
        <v>86</v>
      </c>
      <c r="C112" s="18" t="s">
        <v>200</v>
      </c>
      <c r="D112" s="30" t="s">
        <v>187</v>
      </c>
      <c r="E112" s="18" t="s">
        <v>437</v>
      </c>
      <c r="F112" s="30" t="s">
        <v>67</v>
      </c>
      <c r="G112" s="80" t="s">
        <v>435</v>
      </c>
      <c r="H112" s="38">
        <v>43791.2</v>
      </c>
      <c r="I112" s="38">
        <v>43791.2</v>
      </c>
    </row>
    <row r="113" spans="1:9" ht="15.75">
      <c r="A113" s="26" t="s">
        <v>131</v>
      </c>
      <c r="B113" s="43" t="s">
        <v>86</v>
      </c>
      <c r="C113" s="18" t="s">
        <v>200</v>
      </c>
      <c r="D113" s="30" t="s">
        <v>187</v>
      </c>
      <c r="E113" s="18" t="s">
        <v>132</v>
      </c>
      <c r="F113" s="30"/>
      <c r="G113" s="80"/>
      <c r="H113" s="38">
        <f>H114</f>
        <v>23563.7</v>
      </c>
      <c r="I113" s="38"/>
    </row>
    <row r="114" spans="1:9" ht="26.25">
      <c r="A114" s="101" t="s">
        <v>358</v>
      </c>
      <c r="B114" s="43" t="s">
        <v>86</v>
      </c>
      <c r="C114" s="18" t="s">
        <v>200</v>
      </c>
      <c r="D114" s="30" t="s">
        <v>187</v>
      </c>
      <c r="E114" s="20" t="s">
        <v>262</v>
      </c>
      <c r="F114" s="7"/>
      <c r="G114" s="49"/>
      <c r="H114" s="38">
        <f>H115+H116</f>
        <v>23563.7</v>
      </c>
      <c r="I114" s="38"/>
    </row>
    <row r="115" spans="1:9" ht="15.75">
      <c r="A115" s="35" t="s">
        <v>209</v>
      </c>
      <c r="B115" s="43" t="s">
        <v>86</v>
      </c>
      <c r="C115" s="18" t="s">
        <v>200</v>
      </c>
      <c r="D115" s="30" t="s">
        <v>187</v>
      </c>
      <c r="E115" s="20" t="s">
        <v>262</v>
      </c>
      <c r="F115" s="7"/>
      <c r="G115" s="49" t="s">
        <v>67</v>
      </c>
      <c r="H115" s="38">
        <v>21605</v>
      </c>
      <c r="I115" s="38"/>
    </row>
    <row r="116" spans="1:9" ht="15.75">
      <c r="A116" s="261" t="s">
        <v>146</v>
      </c>
      <c r="B116" s="43" t="s">
        <v>86</v>
      </c>
      <c r="C116" s="18" t="s">
        <v>200</v>
      </c>
      <c r="D116" s="30" t="s">
        <v>187</v>
      </c>
      <c r="E116" s="20" t="s">
        <v>262</v>
      </c>
      <c r="F116" s="30"/>
      <c r="G116" s="105" t="s">
        <v>274</v>
      </c>
      <c r="H116" s="38">
        <v>1958.7</v>
      </c>
      <c r="I116" s="38"/>
    </row>
    <row r="117" spans="1:9" ht="18.75" customHeight="1">
      <c r="A117" s="108" t="s">
        <v>134</v>
      </c>
      <c r="B117" s="98" t="s">
        <v>86</v>
      </c>
      <c r="C117" s="95" t="s">
        <v>200</v>
      </c>
      <c r="D117" s="107" t="s">
        <v>191</v>
      </c>
      <c r="E117" s="95"/>
      <c r="F117" s="107"/>
      <c r="G117" s="126"/>
      <c r="H117" s="79">
        <f>H118+H129</f>
        <v>60687.9</v>
      </c>
      <c r="I117" s="79">
        <f>I118+I129</f>
        <v>0</v>
      </c>
    </row>
    <row r="118" spans="1:9" ht="15.75">
      <c r="A118" s="25" t="s">
        <v>134</v>
      </c>
      <c r="B118" s="43" t="s">
        <v>86</v>
      </c>
      <c r="C118" s="18" t="s">
        <v>200</v>
      </c>
      <c r="D118" s="30" t="s">
        <v>191</v>
      </c>
      <c r="E118" s="20" t="s">
        <v>287</v>
      </c>
      <c r="F118" s="31"/>
      <c r="G118" s="82"/>
      <c r="H118" s="36">
        <f>H119+H121+H123+H125+H127</f>
        <v>56777</v>
      </c>
      <c r="I118" s="36">
        <f>I119</f>
        <v>0</v>
      </c>
    </row>
    <row r="119" spans="1:9" s="23" customFormat="1" ht="15.75">
      <c r="A119" s="102" t="s">
        <v>313</v>
      </c>
      <c r="B119" s="43" t="s">
        <v>86</v>
      </c>
      <c r="C119" s="18" t="s">
        <v>200</v>
      </c>
      <c r="D119" s="30" t="s">
        <v>191</v>
      </c>
      <c r="E119" s="20" t="s">
        <v>314</v>
      </c>
      <c r="F119" s="7"/>
      <c r="G119" s="49"/>
      <c r="H119" s="38">
        <f>H120</f>
        <v>15191.800000000001</v>
      </c>
      <c r="I119" s="38">
        <f>I120</f>
        <v>0</v>
      </c>
    </row>
    <row r="120" spans="1:9" ht="15.75">
      <c r="A120" s="27" t="s">
        <v>146</v>
      </c>
      <c r="B120" s="43" t="s">
        <v>86</v>
      </c>
      <c r="C120" s="18" t="s">
        <v>200</v>
      </c>
      <c r="D120" s="30" t="s">
        <v>191</v>
      </c>
      <c r="E120" s="20" t="s">
        <v>314</v>
      </c>
      <c r="F120" s="7"/>
      <c r="G120" s="49" t="s">
        <v>274</v>
      </c>
      <c r="H120" s="38">
        <f>15224+10000-7000+657.9-6884+3193.9</f>
        <v>15191.800000000001</v>
      </c>
      <c r="I120" s="204"/>
    </row>
    <row r="121" spans="1:9" ht="39">
      <c r="A121" s="209" t="s">
        <v>288</v>
      </c>
      <c r="B121" s="30" t="s">
        <v>86</v>
      </c>
      <c r="C121" s="18" t="s">
        <v>200</v>
      </c>
      <c r="D121" s="30" t="s">
        <v>191</v>
      </c>
      <c r="E121" s="20" t="s">
        <v>289</v>
      </c>
      <c r="F121" s="7"/>
      <c r="G121" s="49"/>
      <c r="H121" s="38">
        <f>H122</f>
        <v>7908.2</v>
      </c>
      <c r="I121" s="38">
        <f>I122</f>
        <v>0</v>
      </c>
    </row>
    <row r="122" spans="1:9" ht="15.75">
      <c r="A122" s="27" t="s">
        <v>146</v>
      </c>
      <c r="B122" s="43" t="s">
        <v>86</v>
      </c>
      <c r="C122" s="18" t="s">
        <v>200</v>
      </c>
      <c r="D122" s="30" t="s">
        <v>191</v>
      </c>
      <c r="E122" s="20" t="s">
        <v>289</v>
      </c>
      <c r="F122" s="7"/>
      <c r="G122" s="49" t="s">
        <v>274</v>
      </c>
      <c r="H122" s="38">
        <f>10000-8000+1000-1000+5970.5-62.3</f>
        <v>7908.2</v>
      </c>
      <c r="I122" s="204"/>
    </row>
    <row r="123" spans="1:9" ht="15.75">
      <c r="A123" s="8" t="s">
        <v>137</v>
      </c>
      <c r="B123" s="43" t="s">
        <v>86</v>
      </c>
      <c r="C123" s="18" t="s">
        <v>200</v>
      </c>
      <c r="D123" s="30" t="s">
        <v>191</v>
      </c>
      <c r="E123" s="20" t="s">
        <v>315</v>
      </c>
      <c r="F123" s="7"/>
      <c r="G123" s="49"/>
      <c r="H123" s="38">
        <f>H124</f>
        <v>7335.1</v>
      </c>
      <c r="I123" s="38">
        <f>I124</f>
        <v>0</v>
      </c>
    </row>
    <row r="124" spans="1:9" ht="15.75">
      <c r="A124" s="27" t="s">
        <v>146</v>
      </c>
      <c r="B124" s="43" t="s">
        <v>86</v>
      </c>
      <c r="C124" s="18" t="s">
        <v>200</v>
      </c>
      <c r="D124" s="30" t="s">
        <v>191</v>
      </c>
      <c r="E124" s="20" t="s">
        <v>315</v>
      </c>
      <c r="F124" s="7"/>
      <c r="G124" s="49" t="s">
        <v>274</v>
      </c>
      <c r="H124" s="38">
        <f>12061-808-5000+1082.1</f>
        <v>7335.1</v>
      </c>
      <c r="I124" s="204"/>
    </row>
    <row r="125" spans="1:9" ht="15.75">
      <c r="A125" s="8" t="s">
        <v>145</v>
      </c>
      <c r="B125" s="43" t="s">
        <v>86</v>
      </c>
      <c r="C125" s="18" t="s">
        <v>200</v>
      </c>
      <c r="D125" s="30" t="s">
        <v>191</v>
      </c>
      <c r="E125" s="20" t="s">
        <v>316</v>
      </c>
      <c r="F125" s="7"/>
      <c r="G125" s="49"/>
      <c r="H125" s="38">
        <f>H126</f>
        <v>3638</v>
      </c>
      <c r="I125" s="38">
        <f>I126</f>
        <v>0</v>
      </c>
    </row>
    <row r="126" spans="1:9" ht="15.75">
      <c r="A126" s="27" t="s">
        <v>146</v>
      </c>
      <c r="B126" s="43" t="s">
        <v>86</v>
      </c>
      <c r="C126" s="18" t="s">
        <v>200</v>
      </c>
      <c r="D126" s="30" t="s">
        <v>191</v>
      </c>
      <c r="E126" s="20" t="s">
        <v>316</v>
      </c>
      <c r="F126" s="7"/>
      <c r="G126" s="49" t="s">
        <v>274</v>
      </c>
      <c r="H126" s="38">
        <f>17028-1568-4683-9000+2861-1000</f>
        <v>3638</v>
      </c>
      <c r="I126" s="204"/>
    </row>
    <row r="127" spans="1:9" ht="15.75">
      <c r="A127" s="8" t="s">
        <v>317</v>
      </c>
      <c r="B127" s="43" t="s">
        <v>86</v>
      </c>
      <c r="C127" s="18" t="s">
        <v>200</v>
      </c>
      <c r="D127" s="30" t="s">
        <v>191</v>
      </c>
      <c r="E127" s="20" t="s">
        <v>318</v>
      </c>
      <c r="F127" s="7"/>
      <c r="G127" s="54"/>
      <c r="H127" s="38">
        <f>H128</f>
        <v>22703.9</v>
      </c>
      <c r="I127" s="38">
        <f>I128</f>
        <v>0</v>
      </c>
    </row>
    <row r="128" spans="1:9" ht="15.75">
      <c r="A128" s="27" t="s">
        <v>146</v>
      </c>
      <c r="B128" s="43" t="s">
        <v>86</v>
      </c>
      <c r="C128" s="18" t="s">
        <v>200</v>
      </c>
      <c r="D128" s="30" t="s">
        <v>191</v>
      </c>
      <c r="E128" s="20" t="s">
        <v>318</v>
      </c>
      <c r="F128" s="7"/>
      <c r="G128" s="49" t="s">
        <v>274</v>
      </c>
      <c r="H128" s="38">
        <f>10000+25000+21442-3000-11000-1437-4000-27000+1895.2+808+10015.7-20</f>
        <v>22703.9</v>
      </c>
      <c r="I128" s="38"/>
    </row>
    <row r="129" spans="1:9" ht="15.75">
      <c r="A129" s="8" t="s">
        <v>131</v>
      </c>
      <c r="B129" s="43" t="s">
        <v>86</v>
      </c>
      <c r="C129" s="18" t="s">
        <v>200</v>
      </c>
      <c r="D129" s="30" t="s">
        <v>191</v>
      </c>
      <c r="E129" s="20" t="s">
        <v>132</v>
      </c>
      <c r="F129" s="7"/>
      <c r="G129" s="49"/>
      <c r="H129" s="38">
        <f>H130</f>
        <v>3910.8999999999996</v>
      </c>
      <c r="I129" s="204"/>
    </row>
    <row r="130" spans="1:9" ht="39">
      <c r="A130" s="101" t="s">
        <v>359</v>
      </c>
      <c r="B130" s="43" t="s">
        <v>86</v>
      </c>
      <c r="C130" s="18" t="s">
        <v>200</v>
      </c>
      <c r="D130" s="30" t="s">
        <v>191</v>
      </c>
      <c r="E130" s="20" t="s">
        <v>283</v>
      </c>
      <c r="F130" s="7"/>
      <c r="G130" s="49"/>
      <c r="H130" s="38">
        <f>H131</f>
        <v>3910.8999999999996</v>
      </c>
      <c r="I130" s="38">
        <f>I131</f>
        <v>0</v>
      </c>
    </row>
    <row r="131" spans="1:9" ht="15.75">
      <c r="A131" s="27" t="s">
        <v>146</v>
      </c>
      <c r="B131" s="43" t="s">
        <v>86</v>
      </c>
      <c r="C131" s="18" t="s">
        <v>200</v>
      </c>
      <c r="D131" s="30" t="s">
        <v>191</v>
      </c>
      <c r="E131" s="20" t="s">
        <v>283</v>
      </c>
      <c r="F131" s="7"/>
      <c r="G131" s="49" t="s">
        <v>274</v>
      </c>
      <c r="H131" s="38">
        <f>4180-4180+69.2+3841.7</f>
        <v>3910.8999999999996</v>
      </c>
      <c r="I131" s="204"/>
    </row>
    <row r="132" spans="1:9" ht="15.75">
      <c r="A132" s="176" t="s">
        <v>43</v>
      </c>
      <c r="B132" s="99" t="s">
        <v>86</v>
      </c>
      <c r="C132" s="94" t="s">
        <v>205</v>
      </c>
      <c r="D132" s="107" t="s">
        <v>126</v>
      </c>
      <c r="E132" s="95"/>
      <c r="F132" s="93"/>
      <c r="G132" s="90"/>
      <c r="H132" s="79">
        <f>H134</f>
        <v>1070.9999999999998</v>
      </c>
      <c r="I132" s="79">
        <f>I134</f>
        <v>0</v>
      </c>
    </row>
    <row r="133" spans="1:9" ht="15.75">
      <c r="A133" s="35" t="s">
        <v>209</v>
      </c>
      <c r="B133" s="174" t="s">
        <v>86</v>
      </c>
      <c r="C133" s="131" t="s">
        <v>205</v>
      </c>
      <c r="D133" s="32" t="s">
        <v>200</v>
      </c>
      <c r="E133" s="17"/>
      <c r="F133" s="32"/>
      <c r="G133" s="115"/>
      <c r="H133" s="83"/>
      <c r="I133" s="83"/>
    </row>
    <row r="134" spans="1:9" ht="15.75">
      <c r="A134" s="27" t="s">
        <v>44</v>
      </c>
      <c r="B134" s="43" t="s">
        <v>86</v>
      </c>
      <c r="C134" s="18" t="s">
        <v>205</v>
      </c>
      <c r="D134" s="30" t="s">
        <v>200</v>
      </c>
      <c r="E134" s="18" t="s">
        <v>132</v>
      </c>
      <c r="F134" s="29"/>
      <c r="G134" s="89"/>
      <c r="H134" s="37">
        <f>H135+H137</f>
        <v>1070.9999999999998</v>
      </c>
      <c r="I134" s="37">
        <f>I135</f>
        <v>0</v>
      </c>
    </row>
    <row r="135" spans="1:9" ht="15.75">
      <c r="A135" s="8" t="s">
        <v>131</v>
      </c>
      <c r="B135" s="43" t="s">
        <v>86</v>
      </c>
      <c r="C135" s="18" t="s">
        <v>205</v>
      </c>
      <c r="D135" s="30" t="s">
        <v>200</v>
      </c>
      <c r="E135" s="18" t="s">
        <v>132</v>
      </c>
      <c r="F135" s="30"/>
      <c r="G135" s="80" t="s">
        <v>67</v>
      </c>
      <c r="H135" s="37">
        <v>1068.1</v>
      </c>
      <c r="I135" s="37">
        <f>I136</f>
        <v>0</v>
      </c>
    </row>
    <row r="136" spans="1:9" ht="26.25">
      <c r="A136" s="101" t="s">
        <v>355</v>
      </c>
      <c r="B136" s="44" t="s">
        <v>86</v>
      </c>
      <c r="C136" s="20" t="s">
        <v>205</v>
      </c>
      <c r="D136" s="31" t="s">
        <v>200</v>
      </c>
      <c r="E136" s="20" t="s">
        <v>260</v>
      </c>
      <c r="F136" s="31"/>
      <c r="G136" s="82"/>
      <c r="H136" s="36">
        <f>H137</f>
        <v>2.899999999999892</v>
      </c>
      <c r="I136" s="36">
        <f>I137</f>
        <v>0</v>
      </c>
    </row>
    <row r="137" spans="1:9" ht="15.75">
      <c r="A137" s="27" t="s">
        <v>334</v>
      </c>
      <c r="B137" s="44" t="s">
        <v>86</v>
      </c>
      <c r="C137" s="20" t="s">
        <v>205</v>
      </c>
      <c r="D137" s="31" t="s">
        <v>200</v>
      </c>
      <c r="E137" s="20" t="s">
        <v>260</v>
      </c>
      <c r="F137" s="31"/>
      <c r="G137" s="49" t="s">
        <v>4</v>
      </c>
      <c r="H137" s="36">
        <f>2475+223-235-2265+873.1-873.1-195.1</f>
        <v>2.899999999999892</v>
      </c>
      <c r="I137" s="203"/>
    </row>
    <row r="138" spans="1:9" ht="21.75" customHeight="1">
      <c r="A138" s="112" t="s">
        <v>6</v>
      </c>
      <c r="B138" s="98" t="s">
        <v>86</v>
      </c>
      <c r="C138" s="95" t="s">
        <v>194</v>
      </c>
      <c r="D138" s="107" t="s">
        <v>126</v>
      </c>
      <c r="E138" s="95"/>
      <c r="F138" s="93" t="s">
        <v>49</v>
      </c>
      <c r="G138" s="90"/>
      <c r="H138" s="79">
        <f>H139+H153</f>
        <v>16765.4</v>
      </c>
      <c r="I138" s="79">
        <f>I139+I153</f>
        <v>0</v>
      </c>
    </row>
    <row r="139" spans="1:9" ht="15.75">
      <c r="A139" s="106" t="s">
        <v>7</v>
      </c>
      <c r="B139" s="98" t="s">
        <v>86</v>
      </c>
      <c r="C139" s="17" t="s">
        <v>194</v>
      </c>
      <c r="D139" s="32" t="s">
        <v>186</v>
      </c>
      <c r="E139" s="17"/>
      <c r="F139" s="32"/>
      <c r="G139" s="115"/>
      <c r="H139" s="83">
        <f>H140+H150</f>
        <v>15271.2</v>
      </c>
      <c r="I139" s="83">
        <f>I140+I150</f>
        <v>0</v>
      </c>
    </row>
    <row r="140" spans="1:9" ht="26.25">
      <c r="A140" s="35" t="s">
        <v>206</v>
      </c>
      <c r="B140" s="43" t="s">
        <v>86</v>
      </c>
      <c r="C140" s="22" t="s">
        <v>194</v>
      </c>
      <c r="D140" s="29" t="s">
        <v>186</v>
      </c>
      <c r="E140" s="22" t="s">
        <v>71</v>
      </c>
      <c r="F140" s="29"/>
      <c r="G140" s="116"/>
      <c r="H140" s="37">
        <f>H141</f>
        <v>1319.2</v>
      </c>
      <c r="I140" s="37">
        <f>I141</f>
        <v>0</v>
      </c>
    </row>
    <row r="141" spans="1:9" s="23" customFormat="1" ht="51.75">
      <c r="A141" s="35" t="s">
        <v>207</v>
      </c>
      <c r="B141" s="43" t="s">
        <v>86</v>
      </c>
      <c r="C141" s="22" t="s">
        <v>194</v>
      </c>
      <c r="D141" s="29" t="s">
        <v>186</v>
      </c>
      <c r="E141" s="22" t="s">
        <v>208</v>
      </c>
      <c r="F141" s="29"/>
      <c r="G141" s="116"/>
      <c r="H141" s="37">
        <f>H142+H146</f>
        <v>1319.2</v>
      </c>
      <c r="I141" s="37">
        <f>I142+I146</f>
        <v>0</v>
      </c>
    </row>
    <row r="142" spans="1:9" ht="26.25">
      <c r="A142" s="35" t="s">
        <v>206</v>
      </c>
      <c r="B142" s="42" t="s">
        <v>86</v>
      </c>
      <c r="C142" s="22" t="s">
        <v>194</v>
      </c>
      <c r="D142" s="29" t="s">
        <v>186</v>
      </c>
      <c r="E142" s="22" t="s">
        <v>71</v>
      </c>
      <c r="F142" s="29"/>
      <c r="G142" s="105"/>
      <c r="H142" s="38">
        <f aca="true" t="shared" si="4" ref="H142:I144">H143</f>
        <v>500</v>
      </c>
      <c r="I142" s="38">
        <f t="shared" si="4"/>
        <v>0</v>
      </c>
    </row>
    <row r="143" spans="1:9" ht="26.25">
      <c r="A143" s="35" t="s">
        <v>272</v>
      </c>
      <c r="B143" s="42" t="s">
        <v>86</v>
      </c>
      <c r="C143" s="22" t="s">
        <v>194</v>
      </c>
      <c r="D143" s="29" t="s">
        <v>186</v>
      </c>
      <c r="E143" s="22" t="s">
        <v>208</v>
      </c>
      <c r="F143" s="29"/>
      <c r="G143" s="105"/>
      <c r="H143" s="38">
        <f t="shared" si="4"/>
        <v>500</v>
      </c>
      <c r="I143" s="38">
        <f t="shared" si="4"/>
        <v>0</v>
      </c>
    </row>
    <row r="144" spans="1:9" ht="69.75" customHeight="1">
      <c r="A144" s="35" t="s">
        <v>337</v>
      </c>
      <c r="B144" s="43" t="s">
        <v>86</v>
      </c>
      <c r="C144" s="22" t="s">
        <v>194</v>
      </c>
      <c r="D144" s="29" t="s">
        <v>186</v>
      </c>
      <c r="E144" s="22" t="s">
        <v>243</v>
      </c>
      <c r="F144" s="29"/>
      <c r="G144" s="105"/>
      <c r="H144" s="38">
        <f t="shared" si="4"/>
        <v>500</v>
      </c>
      <c r="I144" s="38">
        <f t="shared" si="4"/>
        <v>0</v>
      </c>
    </row>
    <row r="145" spans="1:9" ht="23.25" customHeight="1">
      <c r="A145" s="35" t="s">
        <v>209</v>
      </c>
      <c r="B145" s="42" t="s">
        <v>86</v>
      </c>
      <c r="C145" s="22" t="s">
        <v>194</v>
      </c>
      <c r="D145" s="29" t="s">
        <v>186</v>
      </c>
      <c r="E145" s="22" t="s">
        <v>243</v>
      </c>
      <c r="F145" s="29" t="s">
        <v>67</v>
      </c>
      <c r="G145" s="105" t="s">
        <v>67</v>
      </c>
      <c r="H145" s="38">
        <v>500</v>
      </c>
      <c r="I145" s="38"/>
    </row>
    <row r="146" spans="1:9" ht="27" customHeight="1">
      <c r="A146" s="35" t="s">
        <v>206</v>
      </c>
      <c r="B146" s="42" t="s">
        <v>86</v>
      </c>
      <c r="C146" s="22" t="s">
        <v>194</v>
      </c>
      <c r="D146" s="29" t="s">
        <v>186</v>
      </c>
      <c r="E146" s="22" t="s">
        <v>71</v>
      </c>
      <c r="F146" s="29"/>
      <c r="G146" s="105"/>
      <c r="H146" s="38">
        <f>H147</f>
        <v>819.2</v>
      </c>
      <c r="I146" s="38"/>
    </row>
    <row r="147" spans="1:9" ht="57" customHeight="1">
      <c r="A147" s="35" t="s">
        <v>207</v>
      </c>
      <c r="B147" s="42" t="s">
        <v>86</v>
      </c>
      <c r="C147" s="22" t="s">
        <v>194</v>
      </c>
      <c r="D147" s="29" t="s">
        <v>186</v>
      </c>
      <c r="E147" s="22" t="s">
        <v>208</v>
      </c>
      <c r="F147" s="29"/>
      <c r="G147" s="105"/>
      <c r="H147" s="38">
        <f>H148</f>
        <v>819.2</v>
      </c>
      <c r="I147" s="38"/>
    </row>
    <row r="148" spans="1:9" ht="41.25" customHeight="1">
      <c r="A148" s="35" t="s">
        <v>411</v>
      </c>
      <c r="B148" s="42" t="s">
        <v>86</v>
      </c>
      <c r="C148" s="22" t="s">
        <v>194</v>
      </c>
      <c r="D148" s="29" t="s">
        <v>186</v>
      </c>
      <c r="E148" s="22" t="s">
        <v>243</v>
      </c>
      <c r="F148" s="29"/>
      <c r="G148" s="105"/>
      <c r="H148" s="38">
        <f>H149</f>
        <v>819.2</v>
      </c>
      <c r="I148" s="38"/>
    </row>
    <row r="149" spans="1:9" ht="14.25" customHeight="1">
      <c r="A149" s="35" t="s">
        <v>209</v>
      </c>
      <c r="B149" s="42" t="s">
        <v>86</v>
      </c>
      <c r="C149" s="22" t="s">
        <v>194</v>
      </c>
      <c r="D149" s="29" t="s">
        <v>186</v>
      </c>
      <c r="E149" s="22" t="s">
        <v>243</v>
      </c>
      <c r="F149" s="29" t="s">
        <v>67</v>
      </c>
      <c r="G149" s="105" t="s">
        <v>67</v>
      </c>
      <c r="H149" s="38">
        <v>819.2</v>
      </c>
      <c r="I149" s="38"/>
    </row>
    <row r="150" spans="1:9" ht="17.25" customHeight="1">
      <c r="A150" s="35" t="s">
        <v>8</v>
      </c>
      <c r="B150" s="42" t="s">
        <v>86</v>
      </c>
      <c r="C150" s="22" t="s">
        <v>194</v>
      </c>
      <c r="D150" s="29" t="s">
        <v>186</v>
      </c>
      <c r="E150" s="22" t="s">
        <v>26</v>
      </c>
      <c r="F150" s="29"/>
      <c r="G150" s="105"/>
      <c r="H150" s="38">
        <f>H151</f>
        <v>13952</v>
      </c>
      <c r="I150" s="38"/>
    </row>
    <row r="151" spans="1:9" ht="15" customHeight="1">
      <c r="A151" s="35" t="s">
        <v>27</v>
      </c>
      <c r="B151" s="42" t="s">
        <v>86</v>
      </c>
      <c r="C151" s="22" t="s">
        <v>194</v>
      </c>
      <c r="D151" s="29" t="s">
        <v>186</v>
      </c>
      <c r="E151" s="22" t="s">
        <v>210</v>
      </c>
      <c r="F151" s="29"/>
      <c r="G151" s="105"/>
      <c r="H151" s="38">
        <f>H152</f>
        <v>13952</v>
      </c>
      <c r="I151" s="38"/>
    </row>
    <row r="152" spans="1:9" ht="12" customHeight="1">
      <c r="A152" s="35" t="s">
        <v>172</v>
      </c>
      <c r="B152" s="42" t="s">
        <v>86</v>
      </c>
      <c r="C152" s="22" t="s">
        <v>194</v>
      </c>
      <c r="D152" s="29" t="s">
        <v>186</v>
      </c>
      <c r="E152" s="22" t="s">
        <v>210</v>
      </c>
      <c r="F152" s="29" t="s">
        <v>86</v>
      </c>
      <c r="G152" s="105" t="s">
        <v>86</v>
      </c>
      <c r="H152" s="38">
        <v>13952</v>
      </c>
      <c r="I152" s="38"/>
    </row>
    <row r="153" spans="1:9" ht="12" customHeight="1">
      <c r="A153" s="35" t="s">
        <v>9</v>
      </c>
      <c r="B153" s="42" t="s">
        <v>86</v>
      </c>
      <c r="C153" s="22" t="s">
        <v>194</v>
      </c>
      <c r="D153" s="29" t="s">
        <v>187</v>
      </c>
      <c r="E153" s="22"/>
      <c r="F153" s="29"/>
      <c r="G153" s="105"/>
      <c r="H153" s="38">
        <f>H154+H158</f>
        <v>1494.1999999999998</v>
      </c>
      <c r="I153" s="38"/>
    </row>
    <row r="154" spans="1:9" ht="30.75" customHeight="1">
      <c r="A154" s="35" t="s">
        <v>206</v>
      </c>
      <c r="B154" s="42" t="s">
        <v>86</v>
      </c>
      <c r="C154" s="22" t="s">
        <v>194</v>
      </c>
      <c r="D154" s="29" t="s">
        <v>187</v>
      </c>
      <c r="E154" s="22" t="s">
        <v>71</v>
      </c>
      <c r="F154" s="29"/>
      <c r="G154" s="105"/>
      <c r="H154" s="38">
        <f>H155</f>
        <v>329.6</v>
      </c>
      <c r="I154" s="38"/>
    </row>
    <row r="155" spans="1:9" ht="57" customHeight="1">
      <c r="A155" s="35" t="s">
        <v>207</v>
      </c>
      <c r="B155" s="42" t="s">
        <v>86</v>
      </c>
      <c r="C155" s="22" t="s">
        <v>194</v>
      </c>
      <c r="D155" s="29" t="s">
        <v>187</v>
      </c>
      <c r="E155" s="22" t="s">
        <v>208</v>
      </c>
      <c r="F155" s="29"/>
      <c r="G155" s="105"/>
      <c r="H155" s="38">
        <f>H156</f>
        <v>329.6</v>
      </c>
      <c r="I155" s="38"/>
    </row>
    <row r="156" spans="1:9" ht="42" customHeight="1">
      <c r="A156" s="35" t="s">
        <v>412</v>
      </c>
      <c r="B156" s="42" t="s">
        <v>86</v>
      </c>
      <c r="C156" s="22" t="s">
        <v>194</v>
      </c>
      <c r="D156" s="29" t="s">
        <v>187</v>
      </c>
      <c r="E156" s="22" t="s">
        <v>243</v>
      </c>
      <c r="F156" s="29"/>
      <c r="G156" s="105"/>
      <c r="H156" s="38">
        <f>H157</f>
        <v>329.6</v>
      </c>
      <c r="I156" s="38"/>
    </row>
    <row r="157" spans="1:9" ht="15" customHeight="1">
      <c r="A157" s="35" t="s">
        <v>209</v>
      </c>
      <c r="B157" s="42" t="s">
        <v>86</v>
      </c>
      <c r="C157" s="22" t="s">
        <v>194</v>
      </c>
      <c r="D157" s="29" t="s">
        <v>187</v>
      </c>
      <c r="E157" s="22" t="s">
        <v>243</v>
      </c>
      <c r="F157" s="29" t="s">
        <v>67</v>
      </c>
      <c r="G157" s="105" t="s">
        <v>67</v>
      </c>
      <c r="H157" s="38">
        <v>329.6</v>
      </c>
      <c r="I157" s="38"/>
    </row>
    <row r="158" spans="1:9" ht="17.25" customHeight="1">
      <c r="A158" s="35" t="s">
        <v>31</v>
      </c>
      <c r="B158" s="42" t="s">
        <v>86</v>
      </c>
      <c r="C158" s="22" t="s">
        <v>194</v>
      </c>
      <c r="D158" s="29" t="s">
        <v>187</v>
      </c>
      <c r="E158" s="22" t="s">
        <v>32</v>
      </c>
      <c r="F158" s="29"/>
      <c r="G158" s="105"/>
      <c r="H158" s="38">
        <f>H159</f>
        <v>1164.6</v>
      </c>
      <c r="I158" s="38"/>
    </row>
    <row r="159" spans="1:9" ht="13.5" customHeight="1">
      <c r="A159" s="35" t="s">
        <v>27</v>
      </c>
      <c r="B159" s="42" t="s">
        <v>86</v>
      </c>
      <c r="C159" s="22" t="s">
        <v>194</v>
      </c>
      <c r="D159" s="29" t="s">
        <v>187</v>
      </c>
      <c r="E159" s="22" t="s">
        <v>212</v>
      </c>
      <c r="F159" s="29"/>
      <c r="G159" s="105"/>
      <c r="H159" s="38">
        <f>H160</f>
        <v>1164.6</v>
      </c>
      <c r="I159" s="38"/>
    </row>
    <row r="160" spans="1:9" ht="15" customHeight="1">
      <c r="A160" s="35" t="s">
        <v>172</v>
      </c>
      <c r="B160" s="42" t="s">
        <v>86</v>
      </c>
      <c r="C160" s="22" t="s">
        <v>194</v>
      </c>
      <c r="D160" s="29" t="s">
        <v>187</v>
      </c>
      <c r="E160" s="22" t="s">
        <v>212</v>
      </c>
      <c r="F160" s="29" t="s">
        <v>86</v>
      </c>
      <c r="G160" s="105" t="s">
        <v>86</v>
      </c>
      <c r="H160" s="38">
        <v>1164.6</v>
      </c>
      <c r="I160" s="38"/>
    </row>
    <row r="161" spans="1:9" ht="15.75">
      <c r="A161" s="112" t="s">
        <v>116</v>
      </c>
      <c r="B161" s="98" t="s">
        <v>86</v>
      </c>
      <c r="C161" s="95" t="s">
        <v>195</v>
      </c>
      <c r="D161" s="107" t="s">
        <v>126</v>
      </c>
      <c r="E161" s="95"/>
      <c r="F161" s="93"/>
      <c r="G161" s="90"/>
      <c r="H161" s="79">
        <f>H162</f>
        <v>745</v>
      </c>
      <c r="I161" s="79">
        <f>I162</f>
        <v>0</v>
      </c>
    </row>
    <row r="162" spans="1:9" ht="15.75">
      <c r="A162" s="25" t="s">
        <v>34</v>
      </c>
      <c r="B162" s="43" t="s">
        <v>86</v>
      </c>
      <c r="C162" s="22" t="s">
        <v>195</v>
      </c>
      <c r="D162" s="30" t="s">
        <v>186</v>
      </c>
      <c r="E162" s="18"/>
      <c r="F162" s="30"/>
      <c r="G162" s="105"/>
      <c r="H162" s="38">
        <f>H163+H166</f>
        <v>745</v>
      </c>
      <c r="I162" s="38">
        <f aca="true" t="shared" si="5" ref="H162:I164">I163</f>
        <v>0</v>
      </c>
    </row>
    <row r="163" spans="1:9" ht="15.75">
      <c r="A163" s="25" t="s">
        <v>100</v>
      </c>
      <c r="B163" s="43" t="s">
        <v>86</v>
      </c>
      <c r="C163" s="22" t="s">
        <v>195</v>
      </c>
      <c r="D163" s="30" t="s">
        <v>186</v>
      </c>
      <c r="E163" s="18" t="s">
        <v>39</v>
      </c>
      <c r="F163" s="30"/>
      <c r="G163" s="105"/>
      <c r="H163" s="38">
        <f t="shared" si="5"/>
        <v>0</v>
      </c>
      <c r="I163" s="38">
        <f t="shared" si="5"/>
        <v>0</v>
      </c>
    </row>
    <row r="164" spans="1:9" s="48" customFormat="1" ht="15.75">
      <c r="A164" s="25" t="s">
        <v>101</v>
      </c>
      <c r="B164" s="43" t="s">
        <v>86</v>
      </c>
      <c r="C164" s="22" t="s">
        <v>195</v>
      </c>
      <c r="D164" s="30" t="s">
        <v>186</v>
      </c>
      <c r="E164" s="18" t="s">
        <v>226</v>
      </c>
      <c r="F164" s="30"/>
      <c r="G164" s="105"/>
      <c r="H164" s="38">
        <f t="shared" si="5"/>
        <v>0</v>
      </c>
      <c r="I164" s="38">
        <f t="shared" si="5"/>
        <v>0</v>
      </c>
    </row>
    <row r="165" spans="1:9" s="48" customFormat="1" ht="15.75">
      <c r="A165" s="25" t="s">
        <v>172</v>
      </c>
      <c r="B165" s="43" t="s">
        <v>86</v>
      </c>
      <c r="C165" s="22" t="s">
        <v>195</v>
      </c>
      <c r="D165" s="30" t="s">
        <v>186</v>
      </c>
      <c r="E165" s="18" t="s">
        <v>226</v>
      </c>
      <c r="F165" s="30" t="s">
        <v>86</v>
      </c>
      <c r="G165" s="105" t="s">
        <v>86</v>
      </c>
      <c r="H165" s="38">
        <f>145+1000-1145</f>
        <v>0</v>
      </c>
      <c r="I165" s="38"/>
    </row>
    <row r="166" spans="1:9" s="48" customFormat="1" ht="15.75">
      <c r="A166" s="25" t="s">
        <v>131</v>
      </c>
      <c r="B166" s="43" t="s">
        <v>86</v>
      </c>
      <c r="C166" s="22" t="s">
        <v>195</v>
      </c>
      <c r="D166" s="29" t="s">
        <v>186</v>
      </c>
      <c r="E166" s="18" t="s">
        <v>132</v>
      </c>
      <c r="F166" s="30"/>
      <c r="G166" s="80"/>
      <c r="H166" s="38">
        <f>H167</f>
        <v>745</v>
      </c>
      <c r="I166" s="38"/>
    </row>
    <row r="167" spans="1:9" s="48" customFormat="1" ht="26.25">
      <c r="A167" s="101" t="s">
        <v>251</v>
      </c>
      <c r="B167" s="43" t="s">
        <v>86</v>
      </c>
      <c r="C167" s="22" t="s">
        <v>195</v>
      </c>
      <c r="D167" s="29" t="s">
        <v>186</v>
      </c>
      <c r="E167" s="18" t="s">
        <v>250</v>
      </c>
      <c r="F167" s="30"/>
      <c r="G167" s="80"/>
      <c r="H167" s="38">
        <f>H168</f>
        <v>745</v>
      </c>
      <c r="I167" s="38"/>
    </row>
    <row r="168" spans="1:9" s="48" customFormat="1" ht="26.25">
      <c r="A168" s="101" t="s">
        <v>338</v>
      </c>
      <c r="B168" s="43" t="s">
        <v>86</v>
      </c>
      <c r="C168" s="22" t="s">
        <v>195</v>
      </c>
      <c r="D168" s="29" t="s">
        <v>186</v>
      </c>
      <c r="E168" s="18" t="s">
        <v>250</v>
      </c>
      <c r="F168" s="30"/>
      <c r="G168" s="80" t="s">
        <v>339</v>
      </c>
      <c r="H168" s="38">
        <f>1145-400</f>
        <v>745</v>
      </c>
      <c r="I168" s="38"/>
    </row>
    <row r="169" spans="1:9" ht="15.75">
      <c r="A169" s="112" t="s">
        <v>255</v>
      </c>
      <c r="B169" s="98" t="s">
        <v>86</v>
      </c>
      <c r="C169" s="95" t="s">
        <v>192</v>
      </c>
      <c r="D169" s="107" t="s">
        <v>126</v>
      </c>
      <c r="E169" s="95"/>
      <c r="F169" s="93"/>
      <c r="G169" s="90"/>
      <c r="H169" s="79">
        <f>H179+H170</f>
        <v>131759.7</v>
      </c>
      <c r="I169" s="79">
        <f>I179+I170</f>
        <v>20634</v>
      </c>
    </row>
    <row r="170" spans="1:9" ht="15.75">
      <c r="A170" s="27" t="s">
        <v>228</v>
      </c>
      <c r="B170" s="42" t="s">
        <v>86</v>
      </c>
      <c r="C170" s="22" t="s">
        <v>192</v>
      </c>
      <c r="D170" s="29" t="s">
        <v>186</v>
      </c>
      <c r="E170" s="22"/>
      <c r="F170" s="6" t="s">
        <v>49</v>
      </c>
      <c r="G170" s="89"/>
      <c r="H170" s="37">
        <f>H171+H175</f>
        <v>81759.7</v>
      </c>
      <c r="I170" s="37">
        <f>I171+I175</f>
        <v>20634</v>
      </c>
    </row>
    <row r="171" spans="1:9" ht="26.25">
      <c r="A171" s="35" t="s">
        <v>206</v>
      </c>
      <c r="B171" s="43" t="s">
        <v>86</v>
      </c>
      <c r="C171" s="18" t="s">
        <v>192</v>
      </c>
      <c r="D171" s="29" t="s">
        <v>186</v>
      </c>
      <c r="E171" s="18" t="s">
        <v>71</v>
      </c>
      <c r="F171" s="7" t="s">
        <v>49</v>
      </c>
      <c r="G171" s="89"/>
      <c r="H171" s="38">
        <f aca="true" t="shared" si="6" ref="H171:I173">H172</f>
        <v>80759.7</v>
      </c>
      <c r="I171" s="38">
        <f t="shared" si="6"/>
        <v>20634</v>
      </c>
    </row>
    <row r="172" spans="1:9" ht="12" customHeight="1">
      <c r="A172" s="35" t="s">
        <v>207</v>
      </c>
      <c r="B172" s="43" t="s">
        <v>86</v>
      </c>
      <c r="C172" s="18" t="s">
        <v>192</v>
      </c>
      <c r="D172" s="29" t="s">
        <v>186</v>
      </c>
      <c r="E172" s="18" t="s">
        <v>208</v>
      </c>
      <c r="F172" s="7" t="s">
        <v>72</v>
      </c>
      <c r="G172" s="49"/>
      <c r="H172" s="38">
        <f t="shared" si="6"/>
        <v>80759.7</v>
      </c>
      <c r="I172" s="38">
        <f t="shared" si="6"/>
        <v>20634</v>
      </c>
    </row>
    <row r="173" spans="1:9" ht="64.5">
      <c r="A173" s="35" t="s">
        <v>293</v>
      </c>
      <c r="B173" s="43" t="s">
        <v>86</v>
      </c>
      <c r="C173" s="18" t="s">
        <v>192</v>
      </c>
      <c r="D173" s="29" t="s">
        <v>186</v>
      </c>
      <c r="E173" s="18" t="s">
        <v>243</v>
      </c>
      <c r="F173" s="7"/>
      <c r="G173" s="49"/>
      <c r="H173" s="38">
        <f t="shared" si="6"/>
        <v>80759.7</v>
      </c>
      <c r="I173" s="38">
        <f t="shared" si="6"/>
        <v>20634</v>
      </c>
    </row>
    <row r="174" spans="1:9" ht="15.75">
      <c r="A174" s="35" t="s">
        <v>209</v>
      </c>
      <c r="B174" s="43" t="s">
        <v>86</v>
      </c>
      <c r="C174" s="18" t="s">
        <v>192</v>
      </c>
      <c r="D174" s="29" t="s">
        <v>186</v>
      </c>
      <c r="E174" s="18" t="s">
        <v>243</v>
      </c>
      <c r="F174" s="7"/>
      <c r="G174" s="49" t="s">
        <v>67</v>
      </c>
      <c r="H174" s="38">
        <f>85000+38000-23000+759.7-20000-20634+20634</f>
        <v>80759.7</v>
      </c>
      <c r="I174" s="38">
        <v>20634</v>
      </c>
    </row>
    <row r="175" spans="1:9" ht="26.25">
      <c r="A175" s="35" t="s">
        <v>206</v>
      </c>
      <c r="B175" s="43" t="s">
        <v>86</v>
      </c>
      <c r="C175" s="18" t="s">
        <v>192</v>
      </c>
      <c r="D175" s="29" t="s">
        <v>186</v>
      </c>
      <c r="E175" s="18" t="s">
        <v>71</v>
      </c>
      <c r="F175" s="7" t="s">
        <v>49</v>
      </c>
      <c r="G175" s="89"/>
      <c r="H175" s="38">
        <f>H176</f>
        <v>1000</v>
      </c>
      <c r="I175" s="38"/>
    </row>
    <row r="176" spans="1:9" ht="51.75">
      <c r="A176" s="35" t="s">
        <v>207</v>
      </c>
      <c r="B176" s="43" t="s">
        <v>86</v>
      </c>
      <c r="C176" s="18" t="s">
        <v>192</v>
      </c>
      <c r="D176" s="29" t="s">
        <v>186</v>
      </c>
      <c r="E176" s="18" t="s">
        <v>208</v>
      </c>
      <c r="F176" s="7" t="s">
        <v>72</v>
      </c>
      <c r="G176" s="49"/>
      <c r="H176" s="38">
        <f>H177</f>
        <v>1000</v>
      </c>
      <c r="I176" s="38"/>
    </row>
    <row r="177" spans="1:9" ht="51.75">
      <c r="A177" s="35" t="s">
        <v>294</v>
      </c>
      <c r="B177" s="43" t="s">
        <v>86</v>
      </c>
      <c r="C177" s="18" t="s">
        <v>192</v>
      </c>
      <c r="D177" s="29" t="s">
        <v>186</v>
      </c>
      <c r="E177" s="18" t="s">
        <v>243</v>
      </c>
      <c r="F177" s="7"/>
      <c r="G177" s="49"/>
      <c r="H177" s="38">
        <f>H178</f>
        <v>1000</v>
      </c>
      <c r="I177" s="38"/>
    </row>
    <row r="178" spans="1:9" ht="15.75">
      <c r="A178" s="35" t="s">
        <v>209</v>
      </c>
      <c r="B178" s="43" t="s">
        <v>86</v>
      </c>
      <c r="C178" s="18" t="s">
        <v>192</v>
      </c>
      <c r="D178" s="29" t="s">
        <v>186</v>
      </c>
      <c r="E178" s="18" t="s">
        <v>243</v>
      </c>
      <c r="F178" s="7"/>
      <c r="G178" s="49" t="s">
        <v>67</v>
      </c>
      <c r="H178" s="38">
        <f>20400-6000+15000-10000-18400</f>
        <v>1000</v>
      </c>
      <c r="I178" s="38"/>
    </row>
    <row r="179" spans="1:9" ht="15.75">
      <c r="A179" s="8" t="s">
        <v>230</v>
      </c>
      <c r="B179" s="43" t="s">
        <v>86</v>
      </c>
      <c r="C179" s="18" t="s">
        <v>192</v>
      </c>
      <c r="D179" s="30" t="s">
        <v>195</v>
      </c>
      <c r="E179" s="18"/>
      <c r="F179" s="7"/>
      <c r="G179" s="49"/>
      <c r="H179" s="38">
        <f>H180</f>
        <v>50000</v>
      </c>
      <c r="I179" s="38">
        <f aca="true" t="shared" si="7" ref="H179:I182">I180</f>
        <v>0</v>
      </c>
    </row>
    <row r="180" spans="1:9" ht="26.25">
      <c r="A180" s="35" t="s">
        <v>206</v>
      </c>
      <c r="B180" s="43" t="s">
        <v>86</v>
      </c>
      <c r="C180" s="18" t="s">
        <v>192</v>
      </c>
      <c r="D180" s="30" t="s">
        <v>195</v>
      </c>
      <c r="E180" s="18" t="s">
        <v>71</v>
      </c>
      <c r="F180" s="30"/>
      <c r="G180" s="80"/>
      <c r="H180" s="38">
        <f t="shared" si="7"/>
        <v>50000</v>
      </c>
      <c r="I180" s="38">
        <f t="shared" si="7"/>
        <v>0</v>
      </c>
    </row>
    <row r="181" spans="1:9" ht="26.25">
      <c r="A181" s="35" t="s">
        <v>272</v>
      </c>
      <c r="B181" s="43" t="s">
        <v>86</v>
      </c>
      <c r="C181" s="18" t="s">
        <v>192</v>
      </c>
      <c r="D181" s="30" t="s">
        <v>195</v>
      </c>
      <c r="E181" s="18" t="s">
        <v>208</v>
      </c>
      <c r="F181" s="7"/>
      <c r="G181" s="49"/>
      <c r="H181" s="38">
        <f t="shared" si="7"/>
        <v>50000</v>
      </c>
      <c r="I181" s="38">
        <f t="shared" si="7"/>
        <v>0</v>
      </c>
    </row>
    <row r="182" spans="1:9" ht="77.25">
      <c r="A182" s="35" t="s">
        <v>292</v>
      </c>
      <c r="B182" s="43" t="s">
        <v>86</v>
      </c>
      <c r="C182" s="18" t="s">
        <v>192</v>
      </c>
      <c r="D182" s="30" t="s">
        <v>195</v>
      </c>
      <c r="E182" s="18" t="s">
        <v>243</v>
      </c>
      <c r="F182" s="7"/>
      <c r="G182" s="49"/>
      <c r="H182" s="38">
        <f t="shared" si="7"/>
        <v>50000</v>
      </c>
      <c r="I182" s="38">
        <f t="shared" si="7"/>
        <v>0</v>
      </c>
    </row>
    <row r="183" spans="1:9" ht="15.75">
      <c r="A183" s="35" t="s">
        <v>209</v>
      </c>
      <c r="B183" s="43" t="s">
        <v>86</v>
      </c>
      <c r="C183" s="18" t="s">
        <v>192</v>
      </c>
      <c r="D183" s="30" t="s">
        <v>195</v>
      </c>
      <c r="E183" s="18" t="s">
        <v>243</v>
      </c>
      <c r="F183" s="7"/>
      <c r="G183" s="49" t="s">
        <v>67</v>
      </c>
      <c r="H183" s="38">
        <f>50000+50000-50000</f>
        <v>50000</v>
      </c>
      <c r="I183" s="38">
        <f>12000-12000</f>
        <v>0</v>
      </c>
    </row>
    <row r="184" spans="1:9" ht="15.75">
      <c r="A184" s="112" t="s">
        <v>5</v>
      </c>
      <c r="B184" s="98" t="s">
        <v>86</v>
      </c>
      <c r="C184" s="95" t="s">
        <v>193</v>
      </c>
      <c r="D184" s="107" t="s">
        <v>126</v>
      </c>
      <c r="E184" s="95"/>
      <c r="F184" s="93"/>
      <c r="G184" s="90"/>
      <c r="H184" s="79">
        <f>H185+H189+H209</f>
        <v>61924.40000000001</v>
      </c>
      <c r="I184" s="79">
        <f>I185+I189+I209</f>
        <v>46732</v>
      </c>
    </row>
    <row r="185" spans="1:9" ht="15.75">
      <c r="A185" s="27" t="s">
        <v>46</v>
      </c>
      <c r="B185" s="42" t="s">
        <v>86</v>
      </c>
      <c r="C185" s="22" t="s">
        <v>193</v>
      </c>
      <c r="D185" s="29" t="s">
        <v>186</v>
      </c>
      <c r="E185" s="22"/>
      <c r="F185" s="29"/>
      <c r="G185" s="89"/>
      <c r="H185" s="37">
        <f aca="true" t="shared" si="8" ref="H185:I187">H186</f>
        <v>750</v>
      </c>
      <c r="I185" s="37">
        <f t="shared" si="8"/>
        <v>0</v>
      </c>
    </row>
    <row r="186" spans="1:9" ht="15.75">
      <c r="A186" s="47" t="s">
        <v>233</v>
      </c>
      <c r="B186" s="43" t="s">
        <v>86</v>
      </c>
      <c r="C186" s="22" t="s">
        <v>193</v>
      </c>
      <c r="D186" s="30" t="s">
        <v>186</v>
      </c>
      <c r="E186" s="18" t="s">
        <v>234</v>
      </c>
      <c r="F186" s="30"/>
      <c r="G186" s="80"/>
      <c r="H186" s="38">
        <f t="shared" si="8"/>
        <v>750</v>
      </c>
      <c r="I186" s="38">
        <f t="shared" si="8"/>
        <v>0</v>
      </c>
    </row>
    <row r="187" spans="1:9" ht="26.25">
      <c r="A187" s="47" t="s">
        <v>114</v>
      </c>
      <c r="B187" s="44" t="s">
        <v>86</v>
      </c>
      <c r="C187" s="22" t="s">
        <v>193</v>
      </c>
      <c r="D187" s="31" t="s">
        <v>186</v>
      </c>
      <c r="E187" s="20" t="s">
        <v>235</v>
      </c>
      <c r="F187" s="31"/>
      <c r="G187" s="55"/>
      <c r="H187" s="36">
        <f t="shared" si="8"/>
        <v>750</v>
      </c>
      <c r="I187" s="36">
        <f t="shared" si="8"/>
        <v>0</v>
      </c>
    </row>
    <row r="188" spans="1:9" ht="15.75">
      <c r="A188" s="47" t="s">
        <v>258</v>
      </c>
      <c r="B188" s="44" t="s">
        <v>86</v>
      </c>
      <c r="C188" s="22" t="s">
        <v>193</v>
      </c>
      <c r="D188" s="31" t="s">
        <v>186</v>
      </c>
      <c r="E188" s="20" t="s">
        <v>235</v>
      </c>
      <c r="F188" s="31"/>
      <c r="G188" s="49" t="s">
        <v>51</v>
      </c>
      <c r="H188" s="36">
        <v>750</v>
      </c>
      <c r="I188" s="203"/>
    </row>
    <row r="189" spans="1:9" ht="15.75">
      <c r="A189" s="25" t="s">
        <v>96</v>
      </c>
      <c r="B189" s="43" t="s">
        <v>86</v>
      </c>
      <c r="C189" s="22" t="s">
        <v>193</v>
      </c>
      <c r="D189" s="30" t="s">
        <v>191</v>
      </c>
      <c r="E189" s="18"/>
      <c r="F189" s="30"/>
      <c r="G189" s="80"/>
      <c r="H189" s="38">
        <f>H198+H204+H190+H193</f>
        <v>57544.40000000001</v>
      </c>
      <c r="I189" s="38">
        <f>I198+I204+I190+I193</f>
        <v>46732</v>
      </c>
    </row>
    <row r="190" spans="1:9" ht="15.75">
      <c r="A190" s="47" t="s">
        <v>379</v>
      </c>
      <c r="B190" s="43" t="s">
        <v>86</v>
      </c>
      <c r="C190" s="22" t="s">
        <v>193</v>
      </c>
      <c r="D190" s="30" t="s">
        <v>191</v>
      </c>
      <c r="E190" s="18" t="s">
        <v>380</v>
      </c>
      <c r="F190" s="30"/>
      <c r="G190" s="80"/>
      <c r="H190" s="38">
        <f>H191</f>
        <v>2062.8</v>
      </c>
      <c r="I190" s="38">
        <f>I191</f>
        <v>0</v>
      </c>
    </row>
    <row r="191" spans="1:9" ht="15.75">
      <c r="A191" s="25" t="s">
        <v>381</v>
      </c>
      <c r="B191" s="43" t="s">
        <v>86</v>
      </c>
      <c r="C191" s="22" t="s">
        <v>193</v>
      </c>
      <c r="D191" s="30" t="s">
        <v>191</v>
      </c>
      <c r="E191" s="18" t="s">
        <v>382</v>
      </c>
      <c r="F191" s="30"/>
      <c r="G191" s="80"/>
      <c r="H191" s="38">
        <f>H192</f>
        <v>2062.8</v>
      </c>
      <c r="I191" s="38">
        <f>I192</f>
        <v>0</v>
      </c>
    </row>
    <row r="192" spans="1:9" ht="15.75">
      <c r="A192" s="25" t="s">
        <v>427</v>
      </c>
      <c r="B192" s="43" t="s">
        <v>86</v>
      </c>
      <c r="C192" s="22" t="s">
        <v>193</v>
      </c>
      <c r="D192" s="30" t="s">
        <v>191</v>
      </c>
      <c r="E192" s="18" t="s">
        <v>382</v>
      </c>
      <c r="F192" s="30" t="s">
        <v>384</v>
      </c>
      <c r="G192" s="80" t="s">
        <v>51</v>
      </c>
      <c r="H192" s="38">
        <f>2255.6-183.1-9.7</f>
        <v>2062.8</v>
      </c>
      <c r="I192" s="38"/>
    </row>
    <row r="193" spans="1:9" ht="15.75">
      <c r="A193" s="25" t="s">
        <v>385</v>
      </c>
      <c r="B193" s="43" t="s">
        <v>86</v>
      </c>
      <c r="C193" s="22" t="s">
        <v>193</v>
      </c>
      <c r="D193" s="30" t="s">
        <v>191</v>
      </c>
      <c r="E193" s="18" t="s">
        <v>386</v>
      </c>
      <c r="F193" s="30"/>
      <c r="G193" s="80"/>
      <c r="H193" s="38">
        <f>H195+H194</f>
        <v>1213.5</v>
      </c>
      <c r="I193" s="38">
        <f>I195+I194</f>
        <v>0</v>
      </c>
    </row>
    <row r="194" spans="1:9" ht="15.75">
      <c r="A194" s="25" t="s">
        <v>449</v>
      </c>
      <c r="B194" s="43" t="s">
        <v>86</v>
      </c>
      <c r="C194" s="22" t="s">
        <v>193</v>
      </c>
      <c r="D194" s="30" t="s">
        <v>191</v>
      </c>
      <c r="E194" s="18" t="s">
        <v>450</v>
      </c>
      <c r="F194" s="30"/>
      <c r="G194" s="80" t="s">
        <v>51</v>
      </c>
      <c r="H194" s="38"/>
      <c r="I194" s="38"/>
    </row>
    <row r="195" spans="1:9" ht="15.75">
      <c r="A195" s="25" t="s">
        <v>387</v>
      </c>
      <c r="B195" s="43" t="s">
        <v>86</v>
      </c>
      <c r="C195" s="22" t="s">
        <v>193</v>
      </c>
      <c r="D195" s="30" t="s">
        <v>191</v>
      </c>
      <c r="E195" s="18" t="s">
        <v>388</v>
      </c>
      <c r="F195" s="30"/>
      <c r="G195" s="80"/>
      <c r="H195" s="38">
        <f>H196</f>
        <v>1213.5</v>
      </c>
      <c r="I195" s="38"/>
    </row>
    <row r="196" spans="1:9" ht="15.75">
      <c r="A196" s="25" t="s">
        <v>381</v>
      </c>
      <c r="B196" s="43" t="s">
        <v>86</v>
      </c>
      <c r="C196" s="22" t="s">
        <v>193</v>
      </c>
      <c r="D196" s="30" t="s">
        <v>191</v>
      </c>
      <c r="E196" s="18" t="s">
        <v>389</v>
      </c>
      <c r="F196" s="30"/>
      <c r="G196" s="80"/>
      <c r="H196" s="38">
        <f>H197</f>
        <v>1213.5</v>
      </c>
      <c r="I196" s="38"/>
    </row>
    <row r="197" spans="1:9" ht="15.75">
      <c r="A197" s="25" t="s">
        <v>383</v>
      </c>
      <c r="B197" s="43" t="s">
        <v>86</v>
      </c>
      <c r="C197" s="22" t="s">
        <v>193</v>
      </c>
      <c r="D197" s="30" t="s">
        <v>191</v>
      </c>
      <c r="E197" s="18" t="s">
        <v>389</v>
      </c>
      <c r="F197" s="30" t="s">
        <v>384</v>
      </c>
      <c r="G197" s="80" t="s">
        <v>384</v>
      </c>
      <c r="H197" s="38">
        <v>1213.5</v>
      </c>
      <c r="I197" s="38"/>
    </row>
    <row r="198" spans="1:9" ht="15.75">
      <c r="A198" s="25" t="s">
        <v>236</v>
      </c>
      <c r="B198" s="43" t="s">
        <v>86</v>
      </c>
      <c r="C198" s="22" t="s">
        <v>193</v>
      </c>
      <c r="D198" s="30" t="s">
        <v>191</v>
      </c>
      <c r="E198" s="18" t="s">
        <v>90</v>
      </c>
      <c r="F198" s="30"/>
      <c r="G198" s="80"/>
      <c r="H198" s="38">
        <f>H199+H202</f>
        <v>52560.3</v>
      </c>
      <c r="I198" s="38">
        <f>I199+I202</f>
        <v>46732</v>
      </c>
    </row>
    <row r="199" spans="1:9" ht="15.75">
      <c r="A199" s="25" t="s">
        <v>237</v>
      </c>
      <c r="B199" s="43" t="s">
        <v>86</v>
      </c>
      <c r="C199" s="22" t="s">
        <v>193</v>
      </c>
      <c r="D199" s="30" t="s">
        <v>191</v>
      </c>
      <c r="E199" s="18" t="s">
        <v>447</v>
      </c>
      <c r="F199" s="30" t="s">
        <v>91</v>
      </c>
      <c r="G199" s="54"/>
      <c r="H199" s="38">
        <f>H200</f>
        <v>2524</v>
      </c>
      <c r="I199" s="38">
        <f>I200</f>
        <v>0</v>
      </c>
    </row>
    <row r="200" spans="1:9" ht="26.25">
      <c r="A200" s="101" t="s">
        <v>239</v>
      </c>
      <c r="B200" s="43" t="s">
        <v>86</v>
      </c>
      <c r="C200" s="22" t="s">
        <v>193</v>
      </c>
      <c r="D200" s="30" t="s">
        <v>191</v>
      </c>
      <c r="E200" s="18" t="s">
        <v>447</v>
      </c>
      <c r="F200" s="7"/>
      <c r="G200" s="54"/>
      <c r="H200" s="38">
        <f>H201</f>
        <v>2524</v>
      </c>
      <c r="I200" s="38">
        <f>I201</f>
        <v>0</v>
      </c>
    </row>
    <row r="201" spans="1:9" ht="15.75">
      <c r="A201" s="47" t="s">
        <v>258</v>
      </c>
      <c r="B201" s="43" t="s">
        <v>86</v>
      </c>
      <c r="C201" s="22" t="s">
        <v>193</v>
      </c>
      <c r="D201" s="30" t="s">
        <v>191</v>
      </c>
      <c r="E201" s="18" t="s">
        <v>447</v>
      </c>
      <c r="F201" s="7"/>
      <c r="G201" s="12" t="s">
        <v>51</v>
      </c>
      <c r="H201" s="38">
        <f>2000+50+400+74</f>
        <v>2524</v>
      </c>
      <c r="I201" s="38"/>
    </row>
    <row r="202" spans="1:9" ht="26.25">
      <c r="A202" s="101" t="s">
        <v>144</v>
      </c>
      <c r="B202" s="43" t="s">
        <v>86</v>
      </c>
      <c r="C202" s="22" t="s">
        <v>193</v>
      </c>
      <c r="D202" s="30" t="s">
        <v>191</v>
      </c>
      <c r="E202" s="18" t="s">
        <v>241</v>
      </c>
      <c r="F202" s="7"/>
      <c r="G202" s="54"/>
      <c r="H202" s="38">
        <f>H203</f>
        <v>50036.3</v>
      </c>
      <c r="I202" s="38">
        <f>I203</f>
        <v>46732</v>
      </c>
    </row>
    <row r="203" spans="1:9" ht="15.75">
      <c r="A203" s="47" t="s">
        <v>168</v>
      </c>
      <c r="B203" s="43" t="s">
        <v>86</v>
      </c>
      <c r="C203" s="22" t="s">
        <v>193</v>
      </c>
      <c r="D203" s="30" t="s">
        <v>191</v>
      </c>
      <c r="E203" s="18" t="s">
        <v>241</v>
      </c>
      <c r="F203" s="7"/>
      <c r="G203" s="12" t="s">
        <v>51</v>
      </c>
      <c r="H203" s="38">
        <f>50018-1869+3304.3-946-471</f>
        <v>50036.3</v>
      </c>
      <c r="I203" s="38">
        <f>50018-1869-946-471</f>
        <v>46732</v>
      </c>
    </row>
    <row r="204" spans="1:9" ht="15.75">
      <c r="A204" s="8" t="s">
        <v>131</v>
      </c>
      <c r="B204" s="43" t="s">
        <v>86</v>
      </c>
      <c r="C204" s="22" t="s">
        <v>193</v>
      </c>
      <c r="D204" s="30" t="s">
        <v>191</v>
      </c>
      <c r="E204" s="18" t="s">
        <v>132</v>
      </c>
      <c r="F204" s="7"/>
      <c r="G204" s="12"/>
      <c r="H204" s="38">
        <f>H205+H207</f>
        <v>1707.8</v>
      </c>
      <c r="I204" s="38">
        <f>I205</f>
        <v>0</v>
      </c>
    </row>
    <row r="205" spans="1:9" ht="26.25">
      <c r="A205" s="101" t="s">
        <v>344</v>
      </c>
      <c r="B205" s="43" t="s">
        <v>86</v>
      </c>
      <c r="C205" s="22" t="s">
        <v>193</v>
      </c>
      <c r="D205" s="30" t="s">
        <v>191</v>
      </c>
      <c r="E205" s="18" t="s">
        <v>246</v>
      </c>
      <c r="F205" s="7"/>
      <c r="G205" s="54"/>
      <c r="H205" s="38">
        <f>H206</f>
        <v>1324</v>
      </c>
      <c r="I205" s="38">
        <f>I206</f>
        <v>0</v>
      </c>
    </row>
    <row r="206" spans="1:9" ht="15.75">
      <c r="A206" s="27" t="s">
        <v>146</v>
      </c>
      <c r="B206" s="43" t="s">
        <v>86</v>
      </c>
      <c r="C206" s="22" t="s">
        <v>193</v>
      </c>
      <c r="D206" s="30" t="s">
        <v>191</v>
      </c>
      <c r="E206" s="18" t="s">
        <v>246</v>
      </c>
      <c r="F206" s="7"/>
      <c r="G206" s="12" t="s">
        <v>274</v>
      </c>
      <c r="H206" s="38">
        <f>1200.1+123.9</f>
        <v>1324</v>
      </c>
      <c r="I206" s="38"/>
    </row>
    <row r="207" spans="1:9" ht="26.25">
      <c r="A207" s="101" t="s">
        <v>345</v>
      </c>
      <c r="B207" s="43" t="s">
        <v>86</v>
      </c>
      <c r="C207" s="22" t="s">
        <v>193</v>
      </c>
      <c r="D207" s="30" t="s">
        <v>191</v>
      </c>
      <c r="E207" s="18" t="s">
        <v>291</v>
      </c>
      <c r="F207" s="7"/>
      <c r="G207" s="54"/>
      <c r="H207" s="38">
        <f>H208</f>
        <v>383.8</v>
      </c>
      <c r="I207" s="38"/>
    </row>
    <row r="208" spans="1:9" ht="15.75">
      <c r="A208" s="27" t="s">
        <v>146</v>
      </c>
      <c r="B208" s="43" t="s">
        <v>86</v>
      </c>
      <c r="C208" s="22" t="s">
        <v>193</v>
      </c>
      <c r="D208" s="30" t="s">
        <v>191</v>
      </c>
      <c r="E208" s="18" t="s">
        <v>291</v>
      </c>
      <c r="F208" s="7"/>
      <c r="G208" s="12" t="s">
        <v>274</v>
      </c>
      <c r="H208" s="38">
        <v>383.8</v>
      </c>
      <c r="I208" s="38"/>
    </row>
    <row r="209" spans="1:9" ht="15.75">
      <c r="A209" s="103" t="s">
        <v>130</v>
      </c>
      <c r="B209" s="43" t="s">
        <v>86</v>
      </c>
      <c r="C209" s="22" t="s">
        <v>193</v>
      </c>
      <c r="D209" s="30" t="s">
        <v>205</v>
      </c>
      <c r="E209" s="18"/>
      <c r="F209" s="7"/>
      <c r="G209" s="12"/>
      <c r="H209" s="38">
        <f aca="true" t="shared" si="9" ref="H209:I211">H210</f>
        <v>3630</v>
      </c>
      <c r="I209" s="38">
        <f t="shared" si="9"/>
        <v>0</v>
      </c>
    </row>
    <row r="210" spans="1:9" ht="15.75">
      <c r="A210" s="8" t="s">
        <v>131</v>
      </c>
      <c r="B210" s="43" t="s">
        <v>86</v>
      </c>
      <c r="C210" s="22" t="s">
        <v>193</v>
      </c>
      <c r="D210" s="30" t="s">
        <v>205</v>
      </c>
      <c r="E210" s="18" t="s">
        <v>132</v>
      </c>
      <c r="F210" s="7" t="s">
        <v>49</v>
      </c>
      <c r="G210" s="12"/>
      <c r="H210" s="38">
        <f t="shared" si="9"/>
        <v>3630</v>
      </c>
      <c r="I210" s="38">
        <f t="shared" si="9"/>
        <v>0</v>
      </c>
    </row>
    <row r="211" spans="1:9" ht="26.25">
      <c r="A211" s="101" t="s">
        <v>244</v>
      </c>
      <c r="B211" s="43" t="s">
        <v>86</v>
      </c>
      <c r="C211" s="22" t="s">
        <v>193</v>
      </c>
      <c r="D211" s="30" t="s">
        <v>205</v>
      </c>
      <c r="E211" s="18" t="s">
        <v>245</v>
      </c>
      <c r="F211" s="7" t="s">
        <v>49</v>
      </c>
      <c r="G211" s="12"/>
      <c r="H211" s="38">
        <f t="shared" si="9"/>
        <v>3630</v>
      </c>
      <c r="I211" s="38">
        <f t="shared" si="9"/>
        <v>0</v>
      </c>
    </row>
    <row r="212" spans="1:9" ht="16.5" thickBot="1">
      <c r="A212" s="27" t="s">
        <v>146</v>
      </c>
      <c r="B212" s="16" t="s">
        <v>86</v>
      </c>
      <c r="C212" s="22" t="s">
        <v>193</v>
      </c>
      <c r="D212" s="10" t="s">
        <v>205</v>
      </c>
      <c r="E212" s="15" t="s">
        <v>245</v>
      </c>
      <c r="F212" s="10" t="s">
        <v>133</v>
      </c>
      <c r="G212" s="12" t="s">
        <v>274</v>
      </c>
      <c r="H212" s="41">
        <f>2630-500+1000+500</f>
        <v>3630</v>
      </c>
      <c r="I212" s="41"/>
    </row>
    <row r="213" spans="1:9" ht="19.5" thickBot="1">
      <c r="A213" s="195" t="s">
        <v>122</v>
      </c>
      <c r="B213" s="196" t="s">
        <v>62</v>
      </c>
      <c r="C213" s="197"/>
      <c r="D213" s="198"/>
      <c r="E213" s="197"/>
      <c r="F213" s="198"/>
      <c r="G213" s="199"/>
      <c r="H213" s="200">
        <f>H219+H265+H214+H260</f>
        <v>670677.4</v>
      </c>
      <c r="I213" s="200">
        <f>I219+I265+I214+I260</f>
        <v>254783</v>
      </c>
    </row>
    <row r="214" spans="1:9" ht="15" customHeight="1">
      <c r="A214" s="233" t="s">
        <v>115</v>
      </c>
      <c r="B214" s="232" t="s">
        <v>62</v>
      </c>
      <c r="C214" s="232" t="s">
        <v>191</v>
      </c>
      <c r="D214" s="232" t="s">
        <v>126</v>
      </c>
      <c r="E214" s="232"/>
      <c r="F214" s="232"/>
      <c r="G214" s="86"/>
      <c r="H214" s="83">
        <f aca="true" t="shared" si="10" ref="H214:I217">H215</f>
        <v>64</v>
      </c>
      <c r="I214" s="40">
        <f t="shared" si="10"/>
        <v>64</v>
      </c>
    </row>
    <row r="215" spans="1:9" ht="26.25">
      <c r="A215" s="209" t="s">
        <v>107</v>
      </c>
      <c r="B215" s="194" t="s">
        <v>62</v>
      </c>
      <c r="C215" s="194" t="s">
        <v>191</v>
      </c>
      <c r="D215" s="194" t="s">
        <v>190</v>
      </c>
      <c r="E215" s="194"/>
      <c r="F215" s="194"/>
      <c r="G215" s="49"/>
      <c r="H215" s="38">
        <f t="shared" si="10"/>
        <v>64</v>
      </c>
      <c r="I215" s="38">
        <f t="shared" si="10"/>
        <v>64</v>
      </c>
    </row>
    <row r="216" spans="1:9" ht="26.25">
      <c r="A216" s="209" t="s">
        <v>108</v>
      </c>
      <c r="B216" s="194" t="s">
        <v>62</v>
      </c>
      <c r="C216" s="194" t="s">
        <v>191</v>
      </c>
      <c r="D216" s="194" t="s">
        <v>190</v>
      </c>
      <c r="E216" s="194" t="s">
        <v>84</v>
      </c>
      <c r="F216" s="194"/>
      <c r="G216" s="49"/>
      <c r="H216" s="38">
        <f t="shared" si="10"/>
        <v>64</v>
      </c>
      <c r="I216" s="38">
        <f t="shared" si="10"/>
        <v>64</v>
      </c>
    </row>
    <row r="217" spans="1:9" ht="15.75">
      <c r="A217" s="234" t="s">
        <v>27</v>
      </c>
      <c r="B217" s="194" t="s">
        <v>62</v>
      </c>
      <c r="C217" s="194" t="s">
        <v>191</v>
      </c>
      <c r="D217" s="194" t="s">
        <v>190</v>
      </c>
      <c r="E217" s="194" t="s">
        <v>174</v>
      </c>
      <c r="F217" s="194"/>
      <c r="G217" s="49"/>
      <c r="H217" s="38">
        <f t="shared" si="10"/>
        <v>64</v>
      </c>
      <c r="I217" s="38">
        <f t="shared" si="10"/>
        <v>64</v>
      </c>
    </row>
    <row r="218" spans="1:9" ht="15.75">
      <c r="A218" s="234" t="s">
        <v>172</v>
      </c>
      <c r="B218" s="194" t="s">
        <v>62</v>
      </c>
      <c r="C218" s="194" t="s">
        <v>191</v>
      </c>
      <c r="D218" s="194" t="s">
        <v>190</v>
      </c>
      <c r="E218" s="194" t="s">
        <v>174</v>
      </c>
      <c r="F218" s="194" t="s">
        <v>86</v>
      </c>
      <c r="G218" s="49" t="s">
        <v>86</v>
      </c>
      <c r="H218" s="38">
        <f>145-145+64</f>
        <v>64</v>
      </c>
      <c r="I218" s="38">
        <f>145-145+64</f>
        <v>64</v>
      </c>
    </row>
    <row r="219" spans="1:9" ht="15.75">
      <c r="A219" s="112" t="s">
        <v>6</v>
      </c>
      <c r="B219" s="98" t="s">
        <v>62</v>
      </c>
      <c r="C219" s="95" t="s">
        <v>194</v>
      </c>
      <c r="D219" s="107" t="s">
        <v>126</v>
      </c>
      <c r="E219" s="95"/>
      <c r="F219" s="107"/>
      <c r="G219" s="117"/>
      <c r="H219" s="79">
        <f>H225+H243+H247+H220</f>
        <v>660559.5</v>
      </c>
      <c r="I219" s="79">
        <f>I225+I243+I247+I220</f>
        <v>245366.5</v>
      </c>
    </row>
    <row r="220" spans="1:9" ht="15.75">
      <c r="A220" s="106" t="s">
        <v>7</v>
      </c>
      <c r="B220" s="97" t="s">
        <v>62</v>
      </c>
      <c r="C220" s="17" t="s">
        <v>194</v>
      </c>
      <c r="D220" s="32" t="s">
        <v>186</v>
      </c>
      <c r="E220" s="17"/>
      <c r="F220" s="32"/>
      <c r="G220" s="119"/>
      <c r="H220" s="83">
        <f>H221</f>
        <v>257290.9</v>
      </c>
      <c r="I220" s="83">
        <f>I221</f>
        <v>2700</v>
      </c>
    </row>
    <row r="221" spans="1:9" ht="15.75">
      <c r="A221" s="106" t="s">
        <v>7</v>
      </c>
      <c r="B221" s="97" t="s">
        <v>62</v>
      </c>
      <c r="C221" s="17" t="s">
        <v>194</v>
      </c>
      <c r="D221" s="32" t="s">
        <v>186</v>
      </c>
      <c r="E221" s="17"/>
      <c r="F221" s="32"/>
      <c r="G221" s="119"/>
      <c r="H221" s="83">
        <f aca="true" t="shared" si="11" ref="H221:I223">H222</f>
        <v>257290.9</v>
      </c>
      <c r="I221" s="83">
        <f t="shared" si="11"/>
        <v>2700</v>
      </c>
    </row>
    <row r="222" spans="1:9" ht="15.75">
      <c r="A222" s="25" t="s">
        <v>8</v>
      </c>
      <c r="B222" s="43" t="s">
        <v>62</v>
      </c>
      <c r="C222" s="18" t="s">
        <v>194</v>
      </c>
      <c r="D222" s="30" t="s">
        <v>186</v>
      </c>
      <c r="E222" s="18" t="s">
        <v>26</v>
      </c>
      <c r="F222" s="30"/>
      <c r="G222" s="80"/>
      <c r="H222" s="38">
        <f t="shared" si="11"/>
        <v>257290.9</v>
      </c>
      <c r="I222" s="38">
        <f t="shared" si="11"/>
        <v>2700</v>
      </c>
    </row>
    <row r="223" spans="1:9" s="23" customFormat="1" ht="15.75">
      <c r="A223" s="26" t="s">
        <v>27</v>
      </c>
      <c r="B223" s="43" t="s">
        <v>62</v>
      </c>
      <c r="C223" s="18" t="s">
        <v>194</v>
      </c>
      <c r="D223" s="30" t="s">
        <v>186</v>
      </c>
      <c r="E223" s="18" t="s">
        <v>210</v>
      </c>
      <c r="F223" s="30"/>
      <c r="G223" s="56"/>
      <c r="H223" s="38">
        <f t="shared" si="11"/>
        <v>257290.9</v>
      </c>
      <c r="I223" s="38">
        <f t="shared" si="11"/>
        <v>2700</v>
      </c>
    </row>
    <row r="224" spans="1:9" ht="15.75">
      <c r="A224" s="26" t="s">
        <v>172</v>
      </c>
      <c r="B224" s="44" t="s">
        <v>62</v>
      </c>
      <c r="C224" s="20" t="s">
        <v>194</v>
      </c>
      <c r="D224" s="31" t="s">
        <v>186</v>
      </c>
      <c r="E224" s="18" t="s">
        <v>210</v>
      </c>
      <c r="F224" s="30"/>
      <c r="G224" s="89" t="s">
        <v>86</v>
      </c>
      <c r="H224" s="38">
        <f>247399.9+25858.3+38000+2700-3250.5+22226.1+8500+20-38000-38000+145-878.5+4244.9-145-1300-9606.1+5147.4-3308.4-72.2-1412.6-977.4</f>
        <v>257290.9</v>
      </c>
      <c r="I224" s="36">
        <f>38000+2700-38000+145-145</f>
        <v>2700</v>
      </c>
    </row>
    <row r="225" spans="1:9" ht="15.75">
      <c r="A225" s="103" t="s">
        <v>9</v>
      </c>
      <c r="B225" s="100" t="s">
        <v>62</v>
      </c>
      <c r="C225" s="96" t="s">
        <v>194</v>
      </c>
      <c r="D225" s="109" t="s">
        <v>187</v>
      </c>
      <c r="E225" s="95"/>
      <c r="F225" s="107"/>
      <c r="G225" s="117"/>
      <c r="H225" s="79">
        <f>H226+H229+H234+H232</f>
        <v>360907.79999999993</v>
      </c>
      <c r="I225" s="79">
        <f>I226+I229+I234+I232</f>
        <v>233130.2</v>
      </c>
    </row>
    <row r="226" spans="1:9" ht="15.75">
      <c r="A226" s="177" t="s">
        <v>110</v>
      </c>
      <c r="B226" s="44" t="s">
        <v>62</v>
      </c>
      <c r="C226" s="20" t="s">
        <v>194</v>
      </c>
      <c r="D226" s="31" t="s">
        <v>187</v>
      </c>
      <c r="E226" s="20" t="s">
        <v>28</v>
      </c>
      <c r="F226" s="31"/>
      <c r="G226" s="80"/>
      <c r="H226" s="38">
        <f>H228</f>
        <v>308549.1</v>
      </c>
      <c r="I226" s="37">
        <f>I228</f>
        <v>221936.2</v>
      </c>
    </row>
    <row r="227" spans="1:9" s="23" customFormat="1" ht="15.75">
      <c r="A227" s="26" t="s">
        <v>27</v>
      </c>
      <c r="B227" s="44" t="s">
        <v>62</v>
      </c>
      <c r="C227" s="20" t="s">
        <v>194</v>
      </c>
      <c r="D227" s="31" t="s">
        <v>187</v>
      </c>
      <c r="E227" s="20" t="s">
        <v>211</v>
      </c>
      <c r="F227" s="31"/>
      <c r="G227" s="80"/>
      <c r="H227" s="38">
        <f>H228</f>
        <v>308549.1</v>
      </c>
      <c r="I227" s="38">
        <f>I228</f>
        <v>221936.2</v>
      </c>
    </row>
    <row r="228" spans="1:9" ht="15.75">
      <c r="A228" s="8" t="s">
        <v>172</v>
      </c>
      <c r="B228" s="43" t="s">
        <v>62</v>
      </c>
      <c r="C228" s="18" t="s">
        <v>194</v>
      </c>
      <c r="D228" s="30" t="s">
        <v>187</v>
      </c>
      <c r="E228" s="18" t="s">
        <v>211</v>
      </c>
      <c r="F228" s="30"/>
      <c r="G228" s="80" t="s">
        <v>86</v>
      </c>
      <c r="H228" s="38">
        <f>27620.2+16768.7+7802+284369+3670+14115+2791+17900+250-5000-48701+7-9939+1636-11.4+5831.2+26.4+40+2366.9+6.8-7950+1396.8+3341.8+6722.5-22152.2+40.6+3697.8-142.8+2045.8</f>
        <v>308549.1</v>
      </c>
      <c r="I228" s="38">
        <f>7802+284369+3670-48701+7-9939-15033-238.8</f>
        <v>221936.2</v>
      </c>
    </row>
    <row r="229" spans="1:9" ht="15.75">
      <c r="A229" s="33" t="s">
        <v>31</v>
      </c>
      <c r="B229" s="16" t="s">
        <v>62</v>
      </c>
      <c r="C229" s="18" t="s">
        <v>194</v>
      </c>
      <c r="D229" s="30" t="s">
        <v>187</v>
      </c>
      <c r="E229" s="15" t="s">
        <v>32</v>
      </c>
      <c r="F229" s="10"/>
      <c r="G229" s="80"/>
      <c r="H229" s="38">
        <f>H230</f>
        <v>41117.600000000006</v>
      </c>
      <c r="I229" s="38">
        <f>I230</f>
        <v>0</v>
      </c>
    </row>
    <row r="230" spans="1:9" ht="15.75">
      <c r="A230" s="26" t="s">
        <v>27</v>
      </c>
      <c r="B230" s="44" t="s">
        <v>62</v>
      </c>
      <c r="C230" s="18" t="s">
        <v>194</v>
      </c>
      <c r="D230" s="30" t="s">
        <v>187</v>
      </c>
      <c r="E230" s="20" t="s">
        <v>212</v>
      </c>
      <c r="F230" s="10"/>
      <c r="G230" s="56"/>
      <c r="H230" s="38">
        <f>H231</f>
        <v>41117.600000000006</v>
      </c>
      <c r="I230" s="38">
        <f>I231</f>
        <v>0</v>
      </c>
    </row>
    <row r="231" spans="1:9" ht="15.75">
      <c r="A231" s="8" t="s">
        <v>172</v>
      </c>
      <c r="B231" s="44" t="s">
        <v>62</v>
      </c>
      <c r="C231" s="18" t="s">
        <v>194</v>
      </c>
      <c r="D231" s="30" t="s">
        <v>187</v>
      </c>
      <c r="E231" s="20" t="s">
        <v>212</v>
      </c>
      <c r="F231" s="10"/>
      <c r="G231" s="80" t="s">
        <v>86</v>
      </c>
      <c r="H231" s="38">
        <f>40112.6+486+1600+49.4-750+1498.5+250.3-1460-669.2</f>
        <v>41117.600000000006</v>
      </c>
      <c r="I231" s="38"/>
    </row>
    <row r="232" spans="1:9" ht="15.75">
      <c r="A232" s="85" t="s">
        <v>390</v>
      </c>
      <c r="B232" s="44" t="s">
        <v>62</v>
      </c>
      <c r="C232" s="18" t="s">
        <v>194</v>
      </c>
      <c r="D232" s="30" t="s">
        <v>187</v>
      </c>
      <c r="E232" s="20" t="s">
        <v>391</v>
      </c>
      <c r="F232" s="10"/>
      <c r="G232" s="80"/>
      <c r="H232" s="38">
        <f>H233</f>
        <v>347</v>
      </c>
      <c r="I232" s="38">
        <f>I233</f>
        <v>347</v>
      </c>
    </row>
    <row r="233" spans="1:9" ht="15.75">
      <c r="A233" s="85" t="s">
        <v>172</v>
      </c>
      <c r="B233" s="44" t="s">
        <v>62</v>
      </c>
      <c r="C233" s="18" t="s">
        <v>194</v>
      </c>
      <c r="D233" s="30" t="s">
        <v>187</v>
      </c>
      <c r="E233" s="20" t="s">
        <v>391</v>
      </c>
      <c r="F233" s="10" t="s">
        <v>86</v>
      </c>
      <c r="G233" s="80" t="s">
        <v>86</v>
      </c>
      <c r="H233" s="38">
        <f>40-40+347</f>
        <v>347</v>
      </c>
      <c r="I233" s="38">
        <v>347</v>
      </c>
    </row>
    <row r="234" spans="1:9" ht="15.75">
      <c r="A234" s="26" t="s">
        <v>125</v>
      </c>
      <c r="B234" s="44" t="s">
        <v>62</v>
      </c>
      <c r="C234" s="18" t="s">
        <v>194</v>
      </c>
      <c r="D234" s="30" t="s">
        <v>187</v>
      </c>
      <c r="E234" s="20" t="s">
        <v>95</v>
      </c>
      <c r="F234" s="10"/>
      <c r="G234" s="80"/>
      <c r="H234" s="38">
        <f>H235+H237</f>
        <v>10894.1</v>
      </c>
      <c r="I234" s="38">
        <f>I235+I237</f>
        <v>10847</v>
      </c>
    </row>
    <row r="235" spans="1:9" ht="15.75">
      <c r="A235" s="26" t="s">
        <v>97</v>
      </c>
      <c r="B235" s="44" t="s">
        <v>62</v>
      </c>
      <c r="C235" s="18" t="s">
        <v>194</v>
      </c>
      <c r="D235" s="30" t="s">
        <v>187</v>
      </c>
      <c r="E235" s="20" t="s">
        <v>213</v>
      </c>
      <c r="F235" s="10"/>
      <c r="G235" s="56"/>
      <c r="H235" s="38">
        <f>H236</f>
        <v>3712</v>
      </c>
      <c r="I235" s="38">
        <f>I236</f>
        <v>3712</v>
      </c>
    </row>
    <row r="236" spans="1:9" ht="15.75">
      <c r="A236" s="8" t="s">
        <v>172</v>
      </c>
      <c r="B236" s="44" t="s">
        <v>62</v>
      </c>
      <c r="C236" s="18" t="s">
        <v>194</v>
      </c>
      <c r="D236" s="31" t="s">
        <v>187</v>
      </c>
      <c r="E236" s="20" t="s">
        <v>213</v>
      </c>
      <c r="F236" s="10"/>
      <c r="G236" s="80" t="s">
        <v>86</v>
      </c>
      <c r="H236" s="38">
        <f>3781-69</f>
        <v>3712</v>
      </c>
      <c r="I236" s="38">
        <f>3781-69</f>
        <v>3712</v>
      </c>
    </row>
    <row r="237" spans="1:9" ht="26.25">
      <c r="A237" s="136" t="s">
        <v>424</v>
      </c>
      <c r="B237" s="44" t="s">
        <v>62</v>
      </c>
      <c r="C237" s="18" t="s">
        <v>194</v>
      </c>
      <c r="D237" s="31" t="s">
        <v>187</v>
      </c>
      <c r="E237" s="20" t="s">
        <v>392</v>
      </c>
      <c r="F237" s="10"/>
      <c r="G237" s="80"/>
      <c r="H237" s="38">
        <f>H242+H239+H238</f>
        <v>7182.1</v>
      </c>
      <c r="I237" s="38">
        <f>I242+I239</f>
        <v>7135</v>
      </c>
    </row>
    <row r="238" spans="1:9" ht="26.25">
      <c r="A238" s="136" t="s">
        <v>424</v>
      </c>
      <c r="B238" s="44" t="s">
        <v>62</v>
      </c>
      <c r="C238" s="18" t="s">
        <v>194</v>
      </c>
      <c r="D238" s="31" t="s">
        <v>187</v>
      </c>
      <c r="E238" s="20" t="s">
        <v>392</v>
      </c>
      <c r="F238" s="10"/>
      <c r="G238" s="80"/>
      <c r="H238" s="38">
        <v>47.1</v>
      </c>
      <c r="I238" s="38"/>
    </row>
    <row r="239" spans="1:9" ht="26.25">
      <c r="A239" s="136" t="s">
        <v>425</v>
      </c>
      <c r="B239" s="44" t="s">
        <v>62</v>
      </c>
      <c r="C239" s="18" t="s">
        <v>194</v>
      </c>
      <c r="D239" s="31" t="s">
        <v>187</v>
      </c>
      <c r="E239" s="20" t="s">
        <v>423</v>
      </c>
      <c r="F239" s="10"/>
      <c r="G239" s="80"/>
      <c r="H239" s="38">
        <f>H240</f>
        <v>4170</v>
      </c>
      <c r="I239" s="38">
        <f>I240</f>
        <v>4170</v>
      </c>
    </row>
    <row r="240" spans="1:9" ht="15.75">
      <c r="A240" s="85" t="s">
        <v>172</v>
      </c>
      <c r="B240" s="44" t="s">
        <v>62</v>
      </c>
      <c r="C240" s="18" t="s">
        <v>194</v>
      </c>
      <c r="D240" s="31" t="s">
        <v>187</v>
      </c>
      <c r="E240" s="20" t="s">
        <v>423</v>
      </c>
      <c r="F240" s="10"/>
      <c r="G240" s="80" t="s">
        <v>86</v>
      </c>
      <c r="H240" s="38">
        <v>4170</v>
      </c>
      <c r="I240" s="38">
        <v>4170</v>
      </c>
    </row>
    <row r="241" spans="1:9" ht="26.25">
      <c r="A241" s="136" t="s">
        <v>428</v>
      </c>
      <c r="B241" s="44" t="s">
        <v>62</v>
      </c>
      <c r="C241" s="18" t="s">
        <v>194</v>
      </c>
      <c r="D241" s="31" t="s">
        <v>187</v>
      </c>
      <c r="E241" s="20" t="s">
        <v>429</v>
      </c>
      <c r="F241" s="10"/>
      <c r="G241" s="80"/>
      <c r="H241" s="38">
        <f>H242</f>
        <v>2965</v>
      </c>
      <c r="I241" s="38">
        <f>I242</f>
        <v>2965</v>
      </c>
    </row>
    <row r="242" spans="1:9" ht="15.75">
      <c r="A242" s="85" t="s">
        <v>172</v>
      </c>
      <c r="B242" s="44" t="s">
        <v>62</v>
      </c>
      <c r="C242" s="18" t="s">
        <v>194</v>
      </c>
      <c r="D242" s="31" t="s">
        <v>187</v>
      </c>
      <c r="E242" s="20" t="s">
        <v>429</v>
      </c>
      <c r="F242" s="10" t="s">
        <v>86</v>
      </c>
      <c r="G242" s="80" t="s">
        <v>86</v>
      </c>
      <c r="H242" s="38">
        <f>6.8-6.8+2965</f>
        <v>2965</v>
      </c>
      <c r="I242" s="38">
        <v>2965</v>
      </c>
    </row>
    <row r="243" spans="1:9" ht="15.75">
      <c r="A243" s="108" t="s">
        <v>29</v>
      </c>
      <c r="B243" s="100" t="s">
        <v>62</v>
      </c>
      <c r="C243" s="95" t="s">
        <v>194</v>
      </c>
      <c r="D243" s="109" t="s">
        <v>194</v>
      </c>
      <c r="E243" s="95"/>
      <c r="F243" s="107"/>
      <c r="G243" s="117"/>
      <c r="H243" s="79">
        <f aca="true" t="shared" si="12" ref="H243:I245">H244</f>
        <v>2640.3999999999996</v>
      </c>
      <c r="I243" s="79">
        <f t="shared" si="12"/>
        <v>0</v>
      </c>
    </row>
    <row r="244" spans="1:9" ht="15.75">
      <c r="A244" s="47" t="s">
        <v>215</v>
      </c>
      <c r="B244" s="44" t="s">
        <v>62</v>
      </c>
      <c r="C244" s="18" t="s">
        <v>194</v>
      </c>
      <c r="D244" s="31" t="s">
        <v>194</v>
      </c>
      <c r="E244" s="20" t="s">
        <v>30</v>
      </c>
      <c r="F244" s="10"/>
      <c r="G244" s="80"/>
      <c r="H244" s="38">
        <f t="shared" si="12"/>
        <v>2640.3999999999996</v>
      </c>
      <c r="I244" s="38">
        <f t="shared" si="12"/>
        <v>0</v>
      </c>
    </row>
    <row r="245" spans="1:9" ht="15.75">
      <c r="A245" s="25" t="s">
        <v>216</v>
      </c>
      <c r="B245" s="44" t="s">
        <v>62</v>
      </c>
      <c r="C245" s="18" t="s">
        <v>194</v>
      </c>
      <c r="D245" s="31" t="s">
        <v>194</v>
      </c>
      <c r="E245" s="20" t="s">
        <v>217</v>
      </c>
      <c r="F245" s="10"/>
      <c r="G245" s="56"/>
      <c r="H245" s="38">
        <f t="shared" si="12"/>
        <v>2640.3999999999996</v>
      </c>
      <c r="I245" s="38">
        <f t="shared" si="12"/>
        <v>0</v>
      </c>
    </row>
    <row r="246" spans="1:9" ht="15.75">
      <c r="A246" s="26" t="s">
        <v>172</v>
      </c>
      <c r="B246" s="44" t="s">
        <v>62</v>
      </c>
      <c r="C246" s="18" t="s">
        <v>194</v>
      </c>
      <c r="D246" s="31" t="s">
        <v>194</v>
      </c>
      <c r="E246" s="20" t="s">
        <v>217</v>
      </c>
      <c r="F246" s="10"/>
      <c r="G246" s="80" t="s">
        <v>86</v>
      </c>
      <c r="H246" s="38">
        <f>2002.3+11.4+890-263.3</f>
        <v>2640.3999999999996</v>
      </c>
      <c r="I246" s="38"/>
    </row>
    <row r="247" spans="1:9" ht="15.75">
      <c r="A247" s="112" t="s">
        <v>33</v>
      </c>
      <c r="B247" s="98" t="s">
        <v>62</v>
      </c>
      <c r="C247" s="95" t="s">
        <v>194</v>
      </c>
      <c r="D247" s="107" t="s">
        <v>192</v>
      </c>
      <c r="E247" s="95"/>
      <c r="F247" s="107"/>
      <c r="G247" s="117"/>
      <c r="H247" s="79">
        <f>H254+H248+H257+H251</f>
        <v>39720.399999999994</v>
      </c>
      <c r="I247" s="79">
        <f>I254+I248+I257+I251</f>
        <v>9536.3</v>
      </c>
    </row>
    <row r="248" spans="1:9" s="23" customFormat="1" ht="15.75">
      <c r="A248" s="47" t="s">
        <v>147</v>
      </c>
      <c r="B248" s="43" t="s">
        <v>62</v>
      </c>
      <c r="C248" s="18" t="s">
        <v>194</v>
      </c>
      <c r="D248" s="30" t="s">
        <v>192</v>
      </c>
      <c r="E248" s="18" t="s">
        <v>273</v>
      </c>
      <c r="F248" s="30"/>
      <c r="G248" s="80"/>
      <c r="H248" s="38">
        <f>H249</f>
        <v>10263.8</v>
      </c>
      <c r="I248" s="38">
        <f>I249</f>
        <v>0</v>
      </c>
    </row>
    <row r="249" spans="1:9" ht="15.75">
      <c r="A249" s="27" t="s">
        <v>50</v>
      </c>
      <c r="B249" s="43" t="s">
        <v>62</v>
      </c>
      <c r="C249" s="18" t="s">
        <v>194</v>
      </c>
      <c r="D249" s="30" t="s">
        <v>192</v>
      </c>
      <c r="E249" s="18" t="s">
        <v>275</v>
      </c>
      <c r="F249" s="30"/>
      <c r="G249" s="80"/>
      <c r="H249" s="38">
        <f>H250</f>
        <v>10263.8</v>
      </c>
      <c r="I249" s="38">
        <f>I250</f>
        <v>0</v>
      </c>
    </row>
    <row r="250" spans="1:9" ht="15.75">
      <c r="A250" s="27" t="s">
        <v>257</v>
      </c>
      <c r="B250" s="43" t="s">
        <v>62</v>
      </c>
      <c r="C250" s="18" t="s">
        <v>194</v>
      </c>
      <c r="D250" s="30" t="s">
        <v>192</v>
      </c>
      <c r="E250" s="18" t="s">
        <v>275</v>
      </c>
      <c r="F250" s="30"/>
      <c r="G250" s="80" t="s">
        <v>274</v>
      </c>
      <c r="H250" s="38">
        <f>13718.1-935.6-740.6+77.8-2852.2+18.9+977.4</f>
        <v>10263.8</v>
      </c>
      <c r="I250" s="36"/>
    </row>
    <row r="251" spans="1:9" ht="15.75">
      <c r="A251" s="85" t="s">
        <v>266</v>
      </c>
      <c r="B251" s="44" t="s">
        <v>62</v>
      </c>
      <c r="C251" s="18" t="s">
        <v>194</v>
      </c>
      <c r="D251" s="30" t="s">
        <v>192</v>
      </c>
      <c r="E251" s="20" t="s">
        <v>267</v>
      </c>
      <c r="F251" s="10"/>
      <c r="G251" s="80"/>
      <c r="H251" s="38">
        <f>H252</f>
        <v>8822.8</v>
      </c>
      <c r="I251" s="38">
        <f>I252</f>
        <v>8822.8</v>
      </c>
    </row>
    <row r="252" spans="1:9" s="23" customFormat="1" ht="15.75">
      <c r="A252" s="85" t="s">
        <v>269</v>
      </c>
      <c r="B252" s="44" t="s">
        <v>62</v>
      </c>
      <c r="C252" s="18" t="s">
        <v>194</v>
      </c>
      <c r="D252" s="30" t="s">
        <v>192</v>
      </c>
      <c r="E252" s="20" t="s">
        <v>268</v>
      </c>
      <c r="F252" s="10"/>
      <c r="G252" s="80"/>
      <c r="H252" s="38">
        <f>H253</f>
        <v>8822.8</v>
      </c>
      <c r="I252" s="37">
        <f>I253</f>
        <v>8822.8</v>
      </c>
    </row>
    <row r="253" spans="1:9" ht="15.75">
      <c r="A253" s="85" t="s">
        <v>270</v>
      </c>
      <c r="B253" s="44" t="s">
        <v>62</v>
      </c>
      <c r="C253" s="18" t="s">
        <v>194</v>
      </c>
      <c r="D253" s="30" t="s">
        <v>192</v>
      </c>
      <c r="E253" s="20" t="s">
        <v>268</v>
      </c>
      <c r="F253" s="10"/>
      <c r="G253" s="80" t="s">
        <v>271</v>
      </c>
      <c r="H253" s="38">
        <f>12783-2940-531-728+238.8</f>
        <v>8822.8</v>
      </c>
      <c r="I253" s="38">
        <f>12783-2940-531-728+238.8</f>
        <v>8822.8</v>
      </c>
    </row>
    <row r="254" spans="1:9" ht="51.75">
      <c r="A254" s="46" t="s">
        <v>111</v>
      </c>
      <c r="B254" s="43" t="s">
        <v>62</v>
      </c>
      <c r="C254" s="18" t="s">
        <v>194</v>
      </c>
      <c r="D254" s="30" t="s">
        <v>192</v>
      </c>
      <c r="E254" s="18" t="s">
        <v>40</v>
      </c>
      <c r="F254" s="30"/>
      <c r="G254" s="80"/>
      <c r="H254" s="38">
        <f>H255</f>
        <v>10304.400000000001</v>
      </c>
      <c r="I254" s="38">
        <f>I255</f>
        <v>713.5</v>
      </c>
    </row>
    <row r="255" spans="1:9" ht="15.75">
      <c r="A255" s="25" t="s">
        <v>27</v>
      </c>
      <c r="B255" s="44" t="s">
        <v>62</v>
      </c>
      <c r="C255" s="18" t="s">
        <v>194</v>
      </c>
      <c r="D255" s="30" t="s">
        <v>192</v>
      </c>
      <c r="E255" s="20" t="s">
        <v>218</v>
      </c>
      <c r="F255" s="31"/>
      <c r="G255" s="82"/>
      <c r="H255" s="36">
        <f>H256</f>
        <v>10304.400000000001</v>
      </c>
      <c r="I255" s="36">
        <f>I256</f>
        <v>713.5</v>
      </c>
    </row>
    <row r="256" spans="1:9" ht="15.75">
      <c r="A256" s="26" t="s">
        <v>172</v>
      </c>
      <c r="B256" s="44" t="s">
        <v>62</v>
      </c>
      <c r="C256" s="18" t="s">
        <v>194</v>
      </c>
      <c r="D256" s="30" t="s">
        <v>192</v>
      </c>
      <c r="E256" s="20" t="s">
        <v>218</v>
      </c>
      <c r="F256" s="31"/>
      <c r="G256" s="80" t="s">
        <v>86</v>
      </c>
      <c r="H256" s="36">
        <f>11918.1+749+424-35.5-1743.4+11.6-1076.4+57</f>
        <v>10304.400000000001</v>
      </c>
      <c r="I256" s="36">
        <f>749-35.5</f>
        <v>713.5</v>
      </c>
    </row>
    <row r="257" spans="1:9" ht="26.25" customHeight="1">
      <c r="A257" s="25" t="s">
        <v>131</v>
      </c>
      <c r="B257" s="44" t="s">
        <v>62</v>
      </c>
      <c r="C257" s="18" t="s">
        <v>194</v>
      </c>
      <c r="D257" s="30" t="s">
        <v>192</v>
      </c>
      <c r="E257" s="20" t="s">
        <v>132</v>
      </c>
      <c r="F257" s="31"/>
      <c r="G257" s="80"/>
      <c r="H257" s="36">
        <f>H258</f>
        <v>10329.4</v>
      </c>
      <c r="I257" s="36">
        <f>I258</f>
        <v>0</v>
      </c>
    </row>
    <row r="258" spans="1:9" ht="26.25">
      <c r="A258" s="101" t="s">
        <v>219</v>
      </c>
      <c r="B258" s="44" t="s">
        <v>62</v>
      </c>
      <c r="C258" s="18" t="s">
        <v>194</v>
      </c>
      <c r="D258" s="30" t="s">
        <v>192</v>
      </c>
      <c r="E258" s="20" t="s">
        <v>220</v>
      </c>
      <c r="F258" s="31"/>
      <c r="G258" s="80"/>
      <c r="H258" s="36">
        <f>H259</f>
        <v>10329.4</v>
      </c>
      <c r="I258" s="36">
        <f>I259</f>
        <v>0</v>
      </c>
    </row>
    <row r="259" spans="1:9" ht="21" customHeight="1">
      <c r="A259" s="27" t="s">
        <v>257</v>
      </c>
      <c r="B259" s="44" t="s">
        <v>62</v>
      </c>
      <c r="C259" s="18" t="s">
        <v>194</v>
      </c>
      <c r="D259" s="30" t="s">
        <v>192</v>
      </c>
      <c r="E259" s="20" t="s">
        <v>220</v>
      </c>
      <c r="F259" s="31"/>
      <c r="G259" s="80" t="s">
        <v>274</v>
      </c>
      <c r="H259" s="36">
        <f>3250.5+11000-2000+878.5-3000+200.4</f>
        <v>10329.4</v>
      </c>
      <c r="I259" s="203"/>
    </row>
    <row r="260" spans="1:9" ht="21" customHeight="1">
      <c r="A260" s="112" t="s">
        <v>249</v>
      </c>
      <c r="B260" s="98" t="s">
        <v>62</v>
      </c>
      <c r="C260" s="95" t="s">
        <v>195</v>
      </c>
      <c r="D260" s="107" t="s">
        <v>126</v>
      </c>
      <c r="E260" s="95"/>
      <c r="F260" s="107"/>
      <c r="G260" s="117"/>
      <c r="H260" s="36">
        <f>H262</f>
        <v>152.6</v>
      </c>
      <c r="I260" s="38">
        <f>I262</f>
        <v>0</v>
      </c>
    </row>
    <row r="261" spans="1:9" ht="16.5" customHeight="1">
      <c r="A261" s="27" t="s">
        <v>34</v>
      </c>
      <c r="B261" s="42" t="s">
        <v>62</v>
      </c>
      <c r="C261" s="22" t="s">
        <v>195</v>
      </c>
      <c r="D261" s="29" t="s">
        <v>186</v>
      </c>
      <c r="E261" s="22"/>
      <c r="F261" s="29"/>
      <c r="G261" s="89"/>
      <c r="H261" s="36"/>
      <c r="I261" s="247"/>
    </row>
    <row r="262" spans="1:9" ht="13.5" customHeight="1">
      <c r="A262" s="25" t="s">
        <v>100</v>
      </c>
      <c r="B262" s="43" t="s">
        <v>62</v>
      </c>
      <c r="C262" s="22" t="s">
        <v>195</v>
      </c>
      <c r="D262" s="30" t="s">
        <v>186</v>
      </c>
      <c r="E262" s="18" t="s">
        <v>39</v>
      </c>
      <c r="F262" s="30"/>
      <c r="G262" s="105"/>
      <c r="H262" s="38">
        <f>H263</f>
        <v>152.6</v>
      </c>
      <c r="I262" s="38">
        <f>I263</f>
        <v>0</v>
      </c>
    </row>
    <row r="263" spans="1:9" ht="14.25" customHeight="1">
      <c r="A263" s="25" t="s">
        <v>101</v>
      </c>
      <c r="B263" s="43" t="s">
        <v>62</v>
      </c>
      <c r="C263" s="22" t="s">
        <v>195</v>
      </c>
      <c r="D263" s="30" t="s">
        <v>186</v>
      </c>
      <c r="E263" s="18" t="s">
        <v>226</v>
      </c>
      <c r="F263" s="30"/>
      <c r="G263" s="105"/>
      <c r="H263" s="38">
        <f>H264</f>
        <v>152.6</v>
      </c>
      <c r="I263" s="38">
        <f>I264</f>
        <v>0</v>
      </c>
    </row>
    <row r="264" spans="1:9" ht="15" customHeight="1">
      <c r="A264" s="25" t="s">
        <v>172</v>
      </c>
      <c r="B264" s="43" t="s">
        <v>62</v>
      </c>
      <c r="C264" s="22" t="s">
        <v>195</v>
      </c>
      <c r="D264" s="30" t="s">
        <v>186</v>
      </c>
      <c r="E264" s="18" t="s">
        <v>226</v>
      </c>
      <c r="F264" s="30" t="s">
        <v>86</v>
      </c>
      <c r="G264" s="105" t="s">
        <v>86</v>
      </c>
      <c r="H264" s="38">
        <v>152.6</v>
      </c>
      <c r="I264" s="38"/>
    </row>
    <row r="265" spans="1:9" ht="15.75">
      <c r="A265" s="112" t="s">
        <v>5</v>
      </c>
      <c r="B265" s="98" t="s">
        <v>62</v>
      </c>
      <c r="C265" s="95" t="s">
        <v>193</v>
      </c>
      <c r="D265" s="107" t="s">
        <v>126</v>
      </c>
      <c r="E265" s="95"/>
      <c r="F265" s="107"/>
      <c r="G265" s="117"/>
      <c r="H265" s="79">
        <f aca="true" t="shared" si="13" ref="H265:I268">H266</f>
        <v>9901.3</v>
      </c>
      <c r="I265" s="79">
        <f t="shared" si="13"/>
        <v>9352.5</v>
      </c>
    </row>
    <row r="266" spans="1:9" ht="15.75">
      <c r="A266" s="206" t="s">
        <v>319</v>
      </c>
      <c r="B266" s="194" t="s">
        <v>62</v>
      </c>
      <c r="C266" s="194" t="s">
        <v>193</v>
      </c>
      <c r="D266" s="194" t="s">
        <v>188</v>
      </c>
      <c r="E266" s="194"/>
      <c r="F266" s="194"/>
      <c r="G266" s="49"/>
      <c r="H266" s="38">
        <f t="shared" si="13"/>
        <v>9901.3</v>
      </c>
      <c r="I266" s="38">
        <f t="shared" si="13"/>
        <v>9352.5</v>
      </c>
    </row>
    <row r="267" spans="1:9" ht="15.75">
      <c r="A267" s="27" t="s">
        <v>125</v>
      </c>
      <c r="B267" s="194" t="s">
        <v>62</v>
      </c>
      <c r="C267" s="194" t="s">
        <v>193</v>
      </c>
      <c r="D267" s="194" t="s">
        <v>188</v>
      </c>
      <c r="E267" s="194" t="s">
        <v>95</v>
      </c>
      <c r="F267" s="194"/>
      <c r="G267" s="49"/>
      <c r="H267" s="38">
        <f t="shared" si="13"/>
        <v>9901.3</v>
      </c>
      <c r="I267" s="38">
        <f t="shared" si="13"/>
        <v>9352.5</v>
      </c>
    </row>
    <row r="268" spans="1:9" ht="51.75">
      <c r="A268" s="35" t="s">
        <v>278</v>
      </c>
      <c r="B268" s="194" t="s">
        <v>62</v>
      </c>
      <c r="C268" s="194" t="s">
        <v>193</v>
      </c>
      <c r="D268" s="194" t="s">
        <v>188</v>
      </c>
      <c r="E268" s="194" t="s">
        <v>277</v>
      </c>
      <c r="F268" s="194"/>
      <c r="G268" s="49"/>
      <c r="H268" s="38">
        <f t="shared" si="13"/>
        <v>9901.3</v>
      </c>
      <c r="I268" s="38">
        <f t="shared" si="13"/>
        <v>9352.5</v>
      </c>
    </row>
    <row r="269" spans="1:9" s="114" customFormat="1" ht="16.5" thickBot="1">
      <c r="A269" s="207" t="s">
        <v>168</v>
      </c>
      <c r="B269" s="208" t="s">
        <v>62</v>
      </c>
      <c r="C269" s="208" t="s">
        <v>193</v>
      </c>
      <c r="D269" s="208" t="s">
        <v>188</v>
      </c>
      <c r="E269" s="208" t="s">
        <v>277</v>
      </c>
      <c r="F269" s="208"/>
      <c r="G269" s="50" t="s">
        <v>51</v>
      </c>
      <c r="H269" s="36">
        <f>7108+548.8+763+35.5+1446</f>
        <v>9901.3</v>
      </c>
      <c r="I269" s="205">
        <f>7108+763+35.5+1446</f>
        <v>9352.5</v>
      </c>
    </row>
    <row r="270" spans="1:9" s="114" customFormat="1" ht="19.5" thickBot="1">
      <c r="A270" s="75" t="s">
        <v>68</v>
      </c>
      <c r="B270" s="28" t="s">
        <v>67</v>
      </c>
      <c r="C270" s="21"/>
      <c r="D270" s="13"/>
      <c r="E270" s="21"/>
      <c r="F270" s="13"/>
      <c r="G270" s="52"/>
      <c r="H270" s="39">
        <f>H271+H276</f>
        <v>110029.7</v>
      </c>
      <c r="I270" s="39">
        <f>I271+I276</f>
        <v>3452</v>
      </c>
    </row>
    <row r="271" spans="1:9" s="114" customFormat="1" ht="15.75">
      <c r="A271" s="112" t="s">
        <v>6</v>
      </c>
      <c r="B271" s="98" t="s">
        <v>67</v>
      </c>
      <c r="C271" s="95" t="s">
        <v>194</v>
      </c>
      <c r="D271" s="107" t="s">
        <v>126</v>
      </c>
      <c r="E271" s="95"/>
      <c r="F271" s="107"/>
      <c r="G271" s="117"/>
      <c r="H271" s="79">
        <f aca="true" t="shared" si="14" ref="H271:I273">H272</f>
        <v>27146.8</v>
      </c>
      <c r="I271" s="79">
        <f t="shared" si="14"/>
        <v>0</v>
      </c>
    </row>
    <row r="272" spans="1:9" s="114" customFormat="1" ht="15.75">
      <c r="A272" s="27" t="s">
        <v>9</v>
      </c>
      <c r="B272" s="42" t="s">
        <v>67</v>
      </c>
      <c r="C272" s="18" t="s">
        <v>194</v>
      </c>
      <c r="D272" s="29" t="s">
        <v>187</v>
      </c>
      <c r="E272" s="22"/>
      <c r="F272" s="29"/>
      <c r="G272" s="89"/>
      <c r="H272" s="37">
        <f t="shared" si="14"/>
        <v>27146.8</v>
      </c>
      <c r="I272" s="37">
        <f t="shared" si="14"/>
        <v>0</v>
      </c>
    </row>
    <row r="273" spans="1:9" s="114" customFormat="1" ht="15.75">
      <c r="A273" s="33" t="s">
        <v>31</v>
      </c>
      <c r="B273" s="16" t="s">
        <v>67</v>
      </c>
      <c r="C273" s="18" t="s">
        <v>194</v>
      </c>
      <c r="D273" s="29" t="s">
        <v>187</v>
      </c>
      <c r="E273" s="15" t="s">
        <v>32</v>
      </c>
      <c r="F273" s="10"/>
      <c r="G273" s="80"/>
      <c r="H273" s="38">
        <f t="shared" si="14"/>
        <v>27146.8</v>
      </c>
      <c r="I273" s="38">
        <f t="shared" si="14"/>
        <v>0</v>
      </c>
    </row>
    <row r="274" spans="1:9" ht="15.75">
      <c r="A274" s="26" t="s">
        <v>27</v>
      </c>
      <c r="B274" s="44" t="s">
        <v>67</v>
      </c>
      <c r="C274" s="18" t="s">
        <v>194</v>
      </c>
      <c r="D274" s="29" t="s">
        <v>187</v>
      </c>
      <c r="E274" s="20" t="s">
        <v>212</v>
      </c>
      <c r="F274" s="10"/>
      <c r="G274" s="82"/>
      <c r="H274" s="36">
        <f>H275</f>
        <v>27146.8</v>
      </c>
      <c r="I274" s="36">
        <f>I275</f>
        <v>0</v>
      </c>
    </row>
    <row r="275" spans="1:9" ht="15.75">
      <c r="A275" s="8" t="s">
        <v>172</v>
      </c>
      <c r="B275" s="44" t="s">
        <v>67</v>
      </c>
      <c r="C275" s="18" t="s">
        <v>194</v>
      </c>
      <c r="D275" s="29" t="s">
        <v>187</v>
      </c>
      <c r="E275" s="20" t="s">
        <v>212</v>
      </c>
      <c r="F275" s="10"/>
      <c r="G275" s="80" t="s">
        <v>86</v>
      </c>
      <c r="H275" s="36">
        <f>24500.5+1176.9-0.9+1211.2-340.9+600</f>
        <v>27146.8</v>
      </c>
      <c r="I275" s="203"/>
    </row>
    <row r="276" spans="1:9" ht="15.75">
      <c r="A276" s="112" t="s">
        <v>249</v>
      </c>
      <c r="B276" s="98" t="s">
        <v>67</v>
      </c>
      <c r="C276" s="95" t="s">
        <v>195</v>
      </c>
      <c r="D276" s="107" t="s">
        <v>126</v>
      </c>
      <c r="E276" s="95"/>
      <c r="F276" s="107"/>
      <c r="G276" s="117"/>
      <c r="H276" s="79">
        <f>H277+H296</f>
        <v>82882.9</v>
      </c>
      <c r="I276" s="79">
        <f>I277+I296</f>
        <v>3452</v>
      </c>
    </row>
    <row r="277" spans="1:9" ht="15.75">
      <c r="A277" s="27" t="s">
        <v>34</v>
      </c>
      <c r="B277" s="42" t="s">
        <v>67</v>
      </c>
      <c r="C277" s="22" t="s">
        <v>195</v>
      </c>
      <c r="D277" s="29" t="s">
        <v>186</v>
      </c>
      <c r="E277" s="22"/>
      <c r="F277" s="29"/>
      <c r="G277" s="89"/>
      <c r="H277" s="37">
        <f>H278+H281+H284+H287+H293+H290</f>
        <v>76102.4</v>
      </c>
      <c r="I277" s="37">
        <f>I278+I281+I284+I287+I293+I290</f>
        <v>3452</v>
      </c>
    </row>
    <row r="278" spans="1:9" ht="26.25">
      <c r="A278" s="47" t="s">
        <v>119</v>
      </c>
      <c r="B278" s="43" t="s">
        <v>67</v>
      </c>
      <c r="C278" s="22" t="s">
        <v>195</v>
      </c>
      <c r="D278" s="29" t="s">
        <v>186</v>
      </c>
      <c r="E278" s="18" t="s">
        <v>35</v>
      </c>
      <c r="F278" s="30"/>
      <c r="G278" s="80"/>
      <c r="H278" s="38">
        <f>H279</f>
        <v>49265.3</v>
      </c>
      <c r="I278" s="38">
        <f>I279</f>
        <v>3200</v>
      </c>
    </row>
    <row r="279" spans="1:9" ht="15.75">
      <c r="A279" s="26" t="s">
        <v>27</v>
      </c>
      <c r="B279" s="43" t="s">
        <v>67</v>
      </c>
      <c r="C279" s="22" t="s">
        <v>195</v>
      </c>
      <c r="D279" s="29" t="s">
        <v>186</v>
      </c>
      <c r="E279" s="18" t="s">
        <v>222</v>
      </c>
      <c r="F279" s="30"/>
      <c r="G279" s="80"/>
      <c r="H279" s="38">
        <f>H280</f>
        <v>49265.3</v>
      </c>
      <c r="I279" s="38">
        <f>I280</f>
        <v>3200</v>
      </c>
    </row>
    <row r="280" spans="1:9" ht="15.75">
      <c r="A280" s="8" t="s">
        <v>172</v>
      </c>
      <c r="B280" s="43" t="s">
        <v>67</v>
      </c>
      <c r="C280" s="22" t="s">
        <v>195</v>
      </c>
      <c r="D280" s="29" t="s">
        <v>186</v>
      </c>
      <c r="E280" s="18" t="s">
        <v>222</v>
      </c>
      <c r="F280" s="30"/>
      <c r="G280" s="80" t="s">
        <v>86</v>
      </c>
      <c r="H280" s="38">
        <f>36718.3+3200+2400+299.9+5183.1-2173.9-6519.6+10157.5</f>
        <v>49265.3</v>
      </c>
      <c r="I280" s="38">
        <v>3200</v>
      </c>
    </row>
    <row r="281" spans="1:9" ht="15.75">
      <c r="A281" s="25" t="s">
        <v>13</v>
      </c>
      <c r="B281" s="43" t="s">
        <v>67</v>
      </c>
      <c r="C281" s="22" t="s">
        <v>195</v>
      </c>
      <c r="D281" s="29" t="s">
        <v>186</v>
      </c>
      <c r="E281" s="18" t="s">
        <v>36</v>
      </c>
      <c r="F281" s="30"/>
      <c r="G281" s="80"/>
      <c r="H281" s="38">
        <f>H282</f>
        <v>3265.7000000000003</v>
      </c>
      <c r="I281" s="38">
        <f>I282</f>
        <v>0</v>
      </c>
    </row>
    <row r="282" spans="1:9" ht="15.75">
      <c r="A282" s="26" t="s">
        <v>27</v>
      </c>
      <c r="B282" s="43" t="s">
        <v>67</v>
      </c>
      <c r="C282" s="22" t="s">
        <v>195</v>
      </c>
      <c r="D282" s="29" t="s">
        <v>186</v>
      </c>
      <c r="E282" s="18" t="s">
        <v>223</v>
      </c>
      <c r="F282" s="30"/>
      <c r="G282" s="80"/>
      <c r="H282" s="38">
        <f>H283</f>
        <v>3265.7000000000003</v>
      </c>
      <c r="I282" s="38">
        <f>I283</f>
        <v>0</v>
      </c>
    </row>
    <row r="283" spans="1:9" ht="15.75">
      <c r="A283" s="8" t="s">
        <v>172</v>
      </c>
      <c r="B283" s="43" t="s">
        <v>67</v>
      </c>
      <c r="C283" s="22" t="s">
        <v>195</v>
      </c>
      <c r="D283" s="29" t="s">
        <v>186</v>
      </c>
      <c r="E283" s="18" t="s">
        <v>223</v>
      </c>
      <c r="F283" s="30"/>
      <c r="G283" s="80" t="s">
        <v>86</v>
      </c>
      <c r="H283" s="38">
        <f>3780.8+13.4-8.7-471.9-47.9</f>
        <v>3265.7000000000003</v>
      </c>
      <c r="I283" s="204"/>
    </row>
    <row r="284" spans="1:9" ht="15.75">
      <c r="A284" s="25" t="s">
        <v>14</v>
      </c>
      <c r="B284" s="43" t="s">
        <v>67</v>
      </c>
      <c r="C284" s="22" t="s">
        <v>195</v>
      </c>
      <c r="D284" s="29" t="s">
        <v>186</v>
      </c>
      <c r="E284" s="18" t="s">
        <v>37</v>
      </c>
      <c r="F284" s="30"/>
      <c r="G284" s="56"/>
      <c r="H284" s="38">
        <f>H285</f>
        <v>11601.2</v>
      </c>
      <c r="I284" s="38">
        <f>I285</f>
        <v>0</v>
      </c>
    </row>
    <row r="285" spans="1:9" ht="15.75">
      <c r="A285" s="26" t="s">
        <v>27</v>
      </c>
      <c r="B285" s="43" t="s">
        <v>67</v>
      </c>
      <c r="C285" s="22" t="s">
        <v>195</v>
      </c>
      <c r="D285" s="29" t="s">
        <v>186</v>
      </c>
      <c r="E285" s="18" t="s">
        <v>224</v>
      </c>
      <c r="F285" s="30"/>
      <c r="G285" s="56"/>
      <c r="H285" s="38">
        <f>H286</f>
        <v>11601.2</v>
      </c>
      <c r="I285" s="38">
        <f>I286</f>
        <v>0</v>
      </c>
    </row>
    <row r="286" spans="1:9" ht="15.75">
      <c r="A286" s="8" t="s">
        <v>172</v>
      </c>
      <c r="B286" s="43" t="s">
        <v>67</v>
      </c>
      <c r="C286" s="22" t="s">
        <v>195</v>
      </c>
      <c r="D286" s="29" t="s">
        <v>186</v>
      </c>
      <c r="E286" s="18" t="s">
        <v>224</v>
      </c>
      <c r="F286" s="30"/>
      <c r="G286" s="80" t="s">
        <v>86</v>
      </c>
      <c r="H286" s="38">
        <f>13177+1982+362+30.1+200-1549.9-2979.8-252+631.8</f>
        <v>11601.2</v>
      </c>
      <c r="I286" s="38">
        <f>252-252</f>
        <v>0</v>
      </c>
    </row>
    <row r="287" spans="1:9" ht="26.25">
      <c r="A287" s="47" t="s">
        <v>112</v>
      </c>
      <c r="B287" s="43" t="s">
        <v>67</v>
      </c>
      <c r="C287" s="22" t="s">
        <v>195</v>
      </c>
      <c r="D287" s="29" t="s">
        <v>186</v>
      </c>
      <c r="E287" s="18" t="s">
        <v>38</v>
      </c>
      <c r="F287" s="30"/>
      <c r="G287" s="80"/>
      <c r="H287" s="38">
        <f>H288</f>
        <v>10646.800000000001</v>
      </c>
      <c r="I287" s="38">
        <f>I288</f>
        <v>0</v>
      </c>
    </row>
    <row r="288" spans="1:9" ht="15.75">
      <c r="A288" s="26" t="s">
        <v>27</v>
      </c>
      <c r="B288" s="43" t="s">
        <v>67</v>
      </c>
      <c r="C288" s="22" t="s">
        <v>195</v>
      </c>
      <c r="D288" s="29" t="s">
        <v>186</v>
      </c>
      <c r="E288" s="18" t="s">
        <v>225</v>
      </c>
      <c r="F288" s="30"/>
      <c r="G288" s="80"/>
      <c r="H288" s="38">
        <f>H289</f>
        <v>10646.800000000001</v>
      </c>
      <c r="I288" s="38">
        <f>I289</f>
        <v>0</v>
      </c>
    </row>
    <row r="289" spans="1:9" ht="15.75">
      <c r="A289" s="8" t="s">
        <v>172</v>
      </c>
      <c r="B289" s="43" t="s">
        <v>67</v>
      </c>
      <c r="C289" s="22" t="s">
        <v>195</v>
      </c>
      <c r="D289" s="29" t="s">
        <v>186</v>
      </c>
      <c r="E289" s="18" t="s">
        <v>225</v>
      </c>
      <c r="F289" s="30"/>
      <c r="G289" s="80" t="s">
        <v>86</v>
      </c>
      <c r="H289" s="38">
        <f>24941.2+171.9-1451.9+393.5-593.5-12814.4</f>
        <v>10646.800000000001</v>
      </c>
      <c r="I289" s="204"/>
    </row>
    <row r="290" spans="1:9" ht="26.25">
      <c r="A290" s="113" t="s">
        <v>431</v>
      </c>
      <c r="B290" s="43" t="s">
        <v>67</v>
      </c>
      <c r="C290" s="22" t="s">
        <v>195</v>
      </c>
      <c r="D290" s="29" t="s">
        <v>186</v>
      </c>
      <c r="E290" s="18" t="s">
        <v>39</v>
      </c>
      <c r="F290" s="30"/>
      <c r="G290" s="80"/>
      <c r="H290" s="38">
        <f>H291</f>
        <v>252</v>
      </c>
      <c r="I290" s="38">
        <f>I291</f>
        <v>252</v>
      </c>
    </row>
    <row r="291" spans="1:9" ht="26.25">
      <c r="A291" s="113" t="s">
        <v>432</v>
      </c>
      <c r="B291" s="43" t="s">
        <v>67</v>
      </c>
      <c r="C291" s="22" t="s">
        <v>195</v>
      </c>
      <c r="D291" s="29" t="s">
        <v>186</v>
      </c>
      <c r="E291" s="18" t="s">
        <v>433</v>
      </c>
      <c r="F291" s="30"/>
      <c r="G291" s="80"/>
      <c r="H291" s="38">
        <f>H292</f>
        <v>252</v>
      </c>
      <c r="I291" s="38">
        <f>I292</f>
        <v>252</v>
      </c>
    </row>
    <row r="292" spans="1:9" ht="15.75">
      <c r="A292" s="8" t="s">
        <v>172</v>
      </c>
      <c r="B292" s="43" t="s">
        <v>67</v>
      </c>
      <c r="C292" s="22" t="s">
        <v>195</v>
      </c>
      <c r="D292" s="29" t="s">
        <v>186</v>
      </c>
      <c r="E292" s="18" t="s">
        <v>433</v>
      </c>
      <c r="F292" s="30"/>
      <c r="G292" s="80" t="s">
        <v>86</v>
      </c>
      <c r="H292" s="38">
        <v>252</v>
      </c>
      <c r="I292" s="204">
        <v>252</v>
      </c>
    </row>
    <row r="293" spans="1:9" ht="15.75">
      <c r="A293" s="25" t="s">
        <v>131</v>
      </c>
      <c r="B293" s="43" t="s">
        <v>67</v>
      </c>
      <c r="C293" s="22" t="s">
        <v>195</v>
      </c>
      <c r="D293" s="29" t="s">
        <v>186</v>
      </c>
      <c r="E293" s="18" t="s">
        <v>132</v>
      </c>
      <c r="F293" s="30"/>
      <c r="G293" s="80"/>
      <c r="H293" s="38">
        <f>H294</f>
        <v>1071.3999999999996</v>
      </c>
      <c r="I293" s="38">
        <f>I294</f>
        <v>0</v>
      </c>
    </row>
    <row r="294" spans="1:9" ht="26.25">
      <c r="A294" s="101" t="s">
        <v>251</v>
      </c>
      <c r="B294" s="43" t="s">
        <v>67</v>
      </c>
      <c r="C294" s="22" t="s">
        <v>195</v>
      </c>
      <c r="D294" s="29" t="s">
        <v>186</v>
      </c>
      <c r="E294" s="18" t="s">
        <v>250</v>
      </c>
      <c r="F294" s="30"/>
      <c r="G294" s="80"/>
      <c r="H294" s="38">
        <f>H295</f>
        <v>1071.3999999999996</v>
      </c>
      <c r="I294" s="38">
        <f>I295</f>
        <v>0</v>
      </c>
    </row>
    <row r="295" spans="1:9" ht="26.25">
      <c r="A295" s="101" t="s">
        <v>338</v>
      </c>
      <c r="B295" s="43" t="s">
        <v>67</v>
      </c>
      <c r="C295" s="22" t="s">
        <v>195</v>
      </c>
      <c r="D295" s="29" t="s">
        <v>186</v>
      </c>
      <c r="E295" s="18" t="s">
        <v>250</v>
      </c>
      <c r="F295" s="30"/>
      <c r="G295" s="80" t="s">
        <v>339</v>
      </c>
      <c r="H295" s="38">
        <f>4671.4+1800-5400</f>
        <v>1071.3999999999996</v>
      </c>
      <c r="I295" s="204"/>
    </row>
    <row r="296" spans="1:9" ht="26.25">
      <c r="A296" s="122" t="s">
        <v>113</v>
      </c>
      <c r="B296" s="98" t="s">
        <v>67</v>
      </c>
      <c r="C296" s="17" t="s">
        <v>195</v>
      </c>
      <c r="D296" s="107" t="s">
        <v>205</v>
      </c>
      <c r="E296" s="95"/>
      <c r="F296" s="107"/>
      <c r="G296" s="117"/>
      <c r="H296" s="79">
        <f>H300+H297</f>
        <v>6780.5</v>
      </c>
      <c r="I296" s="79">
        <f>I300+I297</f>
        <v>0</v>
      </c>
    </row>
    <row r="297" spans="1:9" ht="15.75">
      <c r="A297" s="47" t="s">
        <v>147</v>
      </c>
      <c r="B297" s="43" t="s">
        <v>67</v>
      </c>
      <c r="C297" s="22" t="s">
        <v>195</v>
      </c>
      <c r="D297" s="30" t="s">
        <v>205</v>
      </c>
      <c r="E297" s="18" t="s">
        <v>273</v>
      </c>
      <c r="F297" s="30"/>
      <c r="G297" s="80"/>
      <c r="H297" s="38">
        <f>H298</f>
        <v>3873.6</v>
      </c>
      <c r="I297" s="38">
        <f>I298</f>
        <v>0</v>
      </c>
    </row>
    <row r="298" spans="1:9" ht="15.75">
      <c r="A298" s="27" t="s">
        <v>50</v>
      </c>
      <c r="B298" s="43" t="s">
        <v>67</v>
      </c>
      <c r="C298" s="22" t="s">
        <v>195</v>
      </c>
      <c r="D298" s="30" t="s">
        <v>205</v>
      </c>
      <c r="E298" s="18" t="s">
        <v>275</v>
      </c>
      <c r="F298" s="30"/>
      <c r="G298" s="80"/>
      <c r="H298" s="38">
        <f>H299</f>
        <v>3873.6</v>
      </c>
      <c r="I298" s="38">
        <f>I299</f>
        <v>0</v>
      </c>
    </row>
    <row r="299" spans="1:9" ht="15.75">
      <c r="A299" s="27" t="s">
        <v>146</v>
      </c>
      <c r="B299" s="43" t="s">
        <v>67</v>
      </c>
      <c r="C299" s="22" t="s">
        <v>195</v>
      </c>
      <c r="D299" s="30" t="s">
        <v>205</v>
      </c>
      <c r="E299" s="18" t="s">
        <v>275</v>
      </c>
      <c r="F299" s="30"/>
      <c r="G299" s="80" t="s">
        <v>274</v>
      </c>
      <c r="H299" s="38">
        <f>5141.7-399.4-276.5-358.8-846.4+613</f>
        <v>3873.6</v>
      </c>
      <c r="I299" s="204"/>
    </row>
    <row r="300" spans="1:9" ht="51.75">
      <c r="A300" s="46" t="s">
        <v>111</v>
      </c>
      <c r="B300" s="43" t="s">
        <v>67</v>
      </c>
      <c r="C300" s="22" t="s">
        <v>195</v>
      </c>
      <c r="D300" s="30" t="s">
        <v>205</v>
      </c>
      <c r="E300" s="18" t="s">
        <v>40</v>
      </c>
      <c r="F300" s="30"/>
      <c r="G300" s="80"/>
      <c r="H300" s="38">
        <f>H301</f>
        <v>2906.9</v>
      </c>
      <c r="I300" s="38">
        <f>I301</f>
        <v>0</v>
      </c>
    </row>
    <row r="301" spans="1:9" s="23" customFormat="1" ht="15.75">
      <c r="A301" s="25" t="s">
        <v>27</v>
      </c>
      <c r="B301" s="44"/>
      <c r="C301" s="22" t="s">
        <v>195</v>
      </c>
      <c r="D301" s="31" t="s">
        <v>205</v>
      </c>
      <c r="E301" s="20" t="s">
        <v>218</v>
      </c>
      <c r="F301" s="31"/>
      <c r="G301" s="235"/>
      <c r="H301" s="36">
        <f>H302</f>
        <v>2906.9</v>
      </c>
      <c r="I301" s="36">
        <f>I302</f>
        <v>0</v>
      </c>
    </row>
    <row r="302" spans="1:9" ht="16.5" thickBot="1">
      <c r="A302" s="26" t="s">
        <v>172</v>
      </c>
      <c r="B302" s="44" t="s">
        <v>67</v>
      </c>
      <c r="C302" s="22" t="s">
        <v>195</v>
      </c>
      <c r="D302" s="31" t="s">
        <v>205</v>
      </c>
      <c r="E302" s="20" t="s">
        <v>218</v>
      </c>
      <c r="F302" s="31"/>
      <c r="G302" s="253" t="s">
        <v>86</v>
      </c>
      <c r="H302" s="36">
        <f>2867.3+91-305.9-605.5+860</f>
        <v>2906.9</v>
      </c>
      <c r="I302" s="229"/>
    </row>
    <row r="303" spans="1:9" ht="46.5" customHeight="1" thickBot="1">
      <c r="A303" s="76" t="s">
        <v>117</v>
      </c>
      <c r="B303" s="28" t="s">
        <v>69</v>
      </c>
      <c r="C303" s="21"/>
      <c r="D303" s="13"/>
      <c r="E303" s="21"/>
      <c r="F303" s="13"/>
      <c r="G303" s="52"/>
      <c r="H303" s="39">
        <f>H304+H337</f>
        <v>559447.5</v>
      </c>
      <c r="I303" s="39">
        <f>I304+I337</f>
        <v>13480</v>
      </c>
    </row>
    <row r="304" spans="1:9" ht="15.75">
      <c r="A304" s="106" t="s">
        <v>248</v>
      </c>
      <c r="B304" s="97" t="s">
        <v>69</v>
      </c>
      <c r="C304" s="17" t="s">
        <v>192</v>
      </c>
      <c r="D304" s="32" t="s">
        <v>126</v>
      </c>
      <c r="E304" s="17"/>
      <c r="F304" s="91"/>
      <c r="G304" s="86"/>
      <c r="H304" s="83">
        <f>H305+H313+H318+H322+H329</f>
        <v>558447.5</v>
      </c>
      <c r="I304" s="83">
        <f>I305+I313+I318+I322+I329</f>
        <v>13480</v>
      </c>
    </row>
    <row r="305" spans="1:9" ht="18" customHeight="1">
      <c r="A305" s="106" t="s">
        <v>228</v>
      </c>
      <c r="B305" s="42" t="s">
        <v>69</v>
      </c>
      <c r="C305" s="22" t="s">
        <v>192</v>
      </c>
      <c r="D305" s="29" t="s">
        <v>186</v>
      </c>
      <c r="E305" s="17"/>
      <c r="F305" s="32"/>
      <c r="G305" s="115"/>
      <c r="H305" s="83">
        <f>H306+H310</f>
        <v>231854.4</v>
      </c>
      <c r="I305" s="83">
        <f>I306+I310</f>
        <v>1678</v>
      </c>
    </row>
    <row r="306" spans="1:9" ht="36.75" customHeight="1">
      <c r="A306" s="25" t="s">
        <v>41</v>
      </c>
      <c r="B306" s="42" t="s">
        <v>69</v>
      </c>
      <c r="C306" s="22" t="s">
        <v>192</v>
      </c>
      <c r="D306" s="30" t="s">
        <v>186</v>
      </c>
      <c r="E306" s="18" t="s">
        <v>42</v>
      </c>
      <c r="F306" s="30"/>
      <c r="G306" s="80"/>
      <c r="H306" s="38">
        <f>H307</f>
        <v>210563.4</v>
      </c>
      <c r="I306" s="38">
        <f>I307</f>
        <v>1078</v>
      </c>
    </row>
    <row r="307" spans="1:9" ht="15.75">
      <c r="A307" s="26" t="s">
        <v>27</v>
      </c>
      <c r="B307" s="42" t="s">
        <v>69</v>
      </c>
      <c r="C307" s="22" t="s">
        <v>192</v>
      </c>
      <c r="D307" s="30" t="s">
        <v>186</v>
      </c>
      <c r="E307" s="18" t="s">
        <v>229</v>
      </c>
      <c r="F307" s="30"/>
      <c r="G307" s="89"/>
      <c r="H307" s="38">
        <f>H308+H309</f>
        <v>210563.4</v>
      </c>
      <c r="I307" s="38">
        <f>I308+I309</f>
        <v>1078</v>
      </c>
    </row>
    <row r="308" spans="1:9" ht="15.75">
      <c r="A308" s="26" t="s">
        <v>172</v>
      </c>
      <c r="B308" s="42" t="s">
        <v>69</v>
      </c>
      <c r="C308" s="22" t="s">
        <v>192</v>
      </c>
      <c r="D308" s="30" t="s">
        <v>186</v>
      </c>
      <c r="E308" s="18" t="s">
        <v>229</v>
      </c>
      <c r="F308" s="30"/>
      <c r="G308" s="89" t="s">
        <v>86</v>
      </c>
      <c r="H308" s="38">
        <f>70304.8+13540.1+141598.8+1135+1000+10928.7-114+4606.3-1021+160.9+858.4-612-7548+1200+257.8-25810.4</f>
        <v>210485.4</v>
      </c>
      <c r="I308" s="38">
        <f>1135+1000-114-1021</f>
        <v>1000</v>
      </c>
    </row>
    <row r="309" spans="1:9" ht="15.75">
      <c r="A309" s="26" t="s">
        <v>172</v>
      </c>
      <c r="B309" s="42" t="s">
        <v>69</v>
      </c>
      <c r="C309" s="22" t="s">
        <v>192</v>
      </c>
      <c r="D309" s="30" t="s">
        <v>186</v>
      </c>
      <c r="E309" s="18" t="s">
        <v>406</v>
      </c>
      <c r="F309" s="30"/>
      <c r="G309" s="89" t="s">
        <v>86</v>
      </c>
      <c r="H309" s="38">
        <f>1021-943</f>
        <v>78</v>
      </c>
      <c r="I309" s="38">
        <f>1021-943</f>
        <v>78</v>
      </c>
    </row>
    <row r="310" spans="1:9" ht="15.75">
      <c r="A310" s="26" t="s">
        <v>320</v>
      </c>
      <c r="B310" s="42" t="s">
        <v>69</v>
      </c>
      <c r="C310" s="22" t="s">
        <v>192</v>
      </c>
      <c r="D310" s="30" t="s">
        <v>186</v>
      </c>
      <c r="E310" s="18" t="s">
        <v>321</v>
      </c>
      <c r="F310" s="30"/>
      <c r="G310" s="89"/>
      <c r="H310" s="38">
        <f>H311</f>
        <v>21291</v>
      </c>
      <c r="I310" s="38">
        <f>I311</f>
        <v>600</v>
      </c>
    </row>
    <row r="311" spans="1:9" ht="15.75">
      <c r="A311" s="26" t="s">
        <v>27</v>
      </c>
      <c r="B311" s="42" t="s">
        <v>69</v>
      </c>
      <c r="C311" s="22" t="s">
        <v>192</v>
      </c>
      <c r="D311" s="30" t="s">
        <v>186</v>
      </c>
      <c r="E311" s="18" t="s">
        <v>322</v>
      </c>
      <c r="F311" s="30"/>
      <c r="G311" s="89"/>
      <c r="H311" s="38">
        <f>H312</f>
        <v>21291</v>
      </c>
      <c r="I311" s="38">
        <f>I312</f>
        <v>600</v>
      </c>
    </row>
    <row r="312" spans="1:9" ht="15.75">
      <c r="A312" s="26" t="s">
        <v>172</v>
      </c>
      <c r="B312" s="42" t="s">
        <v>69</v>
      </c>
      <c r="C312" s="22" t="s">
        <v>192</v>
      </c>
      <c r="D312" s="30" t="s">
        <v>186</v>
      </c>
      <c r="E312" s="18" t="s">
        <v>322</v>
      </c>
      <c r="F312" s="30"/>
      <c r="G312" s="89" t="s">
        <v>86</v>
      </c>
      <c r="H312" s="38">
        <f>785+5885.2+11825.8+600+1857-400+150+588</f>
        <v>21291</v>
      </c>
      <c r="I312" s="38">
        <v>600</v>
      </c>
    </row>
    <row r="313" spans="1:9" ht="15.75">
      <c r="A313" s="26" t="s">
        <v>323</v>
      </c>
      <c r="B313" s="42" t="s">
        <v>69</v>
      </c>
      <c r="C313" s="22" t="s">
        <v>192</v>
      </c>
      <c r="D313" s="30" t="s">
        <v>187</v>
      </c>
      <c r="E313" s="18"/>
      <c r="F313" s="30"/>
      <c r="G313" s="89"/>
      <c r="H313" s="38">
        <f>H314</f>
        <v>276929.1</v>
      </c>
      <c r="I313" s="38">
        <f>I314</f>
        <v>9419</v>
      </c>
    </row>
    <row r="314" spans="1:9" ht="15.75">
      <c r="A314" s="26" t="s">
        <v>324</v>
      </c>
      <c r="B314" s="42" t="s">
        <v>69</v>
      </c>
      <c r="C314" s="22" t="s">
        <v>192</v>
      </c>
      <c r="D314" s="30" t="s">
        <v>187</v>
      </c>
      <c r="E314" s="18" t="s">
        <v>325</v>
      </c>
      <c r="F314" s="30"/>
      <c r="G314" s="89"/>
      <c r="H314" s="38">
        <f>H315</f>
        <v>276929.1</v>
      </c>
      <c r="I314" s="38">
        <f>I315</f>
        <v>9419</v>
      </c>
    </row>
    <row r="315" spans="1:9" ht="15.75">
      <c r="A315" s="26" t="s">
        <v>27</v>
      </c>
      <c r="B315" s="42" t="s">
        <v>69</v>
      </c>
      <c r="C315" s="22" t="s">
        <v>192</v>
      </c>
      <c r="D315" s="30" t="s">
        <v>187</v>
      </c>
      <c r="E315" s="18" t="s">
        <v>326</v>
      </c>
      <c r="F315" s="30"/>
      <c r="G315" s="89"/>
      <c r="H315" s="38">
        <f>H316+H317</f>
        <v>276929.1</v>
      </c>
      <c r="I315" s="38">
        <f>I316+I317</f>
        <v>9419</v>
      </c>
    </row>
    <row r="316" spans="1:9" ht="15.75">
      <c r="A316" s="26" t="s">
        <v>172</v>
      </c>
      <c r="B316" s="42" t="s">
        <v>69</v>
      </c>
      <c r="C316" s="22" t="s">
        <v>192</v>
      </c>
      <c r="D316" s="30" t="s">
        <v>187</v>
      </c>
      <c r="E316" s="18" t="s">
        <v>326</v>
      </c>
      <c r="F316" s="30"/>
      <c r="G316" s="89" t="s">
        <v>86</v>
      </c>
      <c r="H316" s="38">
        <f>85782.6+34858+122959.1+9702+1800+400+80+10627.9-970+10920-8732+136.6-1789.5-9458.7+1250+1000+11144.1</f>
        <v>269710.1</v>
      </c>
      <c r="I316" s="38">
        <f>9702+1800+400-970+10920-10920-8732</f>
        <v>2200</v>
      </c>
    </row>
    <row r="317" spans="1:9" ht="15.75">
      <c r="A317" s="26" t="s">
        <v>172</v>
      </c>
      <c r="B317" s="42" t="s">
        <v>69</v>
      </c>
      <c r="C317" s="22" t="s">
        <v>192</v>
      </c>
      <c r="D317" s="30" t="s">
        <v>187</v>
      </c>
      <c r="E317" s="18" t="s">
        <v>405</v>
      </c>
      <c r="F317" s="30"/>
      <c r="G317" s="89" t="s">
        <v>86</v>
      </c>
      <c r="H317" s="38">
        <f>8732-1513</f>
        <v>7219</v>
      </c>
      <c r="I317" s="38">
        <f>8732-1513</f>
        <v>7219</v>
      </c>
    </row>
    <row r="318" spans="1:9" ht="15.75">
      <c r="A318" s="26" t="s">
        <v>327</v>
      </c>
      <c r="B318" s="42" t="s">
        <v>69</v>
      </c>
      <c r="C318" s="22" t="s">
        <v>192</v>
      </c>
      <c r="D318" s="30" t="s">
        <v>191</v>
      </c>
      <c r="E318" s="18"/>
      <c r="F318" s="30"/>
      <c r="G318" s="89"/>
      <c r="H318" s="38">
        <f aca="true" t="shared" si="15" ref="H318:I320">H319</f>
        <v>5398.5</v>
      </c>
      <c r="I318" s="38">
        <f t="shared" si="15"/>
        <v>0</v>
      </c>
    </row>
    <row r="319" spans="1:9" ht="15.75">
      <c r="A319" s="25" t="s">
        <v>41</v>
      </c>
      <c r="B319" s="42" t="s">
        <v>69</v>
      </c>
      <c r="C319" s="22" t="s">
        <v>192</v>
      </c>
      <c r="D319" s="30" t="s">
        <v>191</v>
      </c>
      <c r="E319" s="18" t="s">
        <v>42</v>
      </c>
      <c r="F319" s="30"/>
      <c r="G319" s="80"/>
      <c r="H319" s="38">
        <f t="shared" si="15"/>
        <v>5398.5</v>
      </c>
      <c r="I319" s="38">
        <f t="shared" si="15"/>
        <v>0</v>
      </c>
    </row>
    <row r="320" spans="1:9" ht="15.75">
      <c r="A320" s="26" t="s">
        <v>27</v>
      </c>
      <c r="B320" s="42" t="s">
        <v>69</v>
      </c>
      <c r="C320" s="22" t="s">
        <v>192</v>
      </c>
      <c r="D320" s="30" t="s">
        <v>191</v>
      </c>
      <c r="E320" s="18" t="s">
        <v>229</v>
      </c>
      <c r="F320" s="30"/>
      <c r="G320" s="89"/>
      <c r="H320" s="38">
        <f t="shared" si="15"/>
        <v>5398.5</v>
      </c>
      <c r="I320" s="38">
        <f t="shared" si="15"/>
        <v>0</v>
      </c>
    </row>
    <row r="321" spans="1:9" ht="15.75">
      <c r="A321" s="26" t="s">
        <v>172</v>
      </c>
      <c r="B321" s="42" t="s">
        <v>69</v>
      </c>
      <c r="C321" s="22" t="s">
        <v>192</v>
      </c>
      <c r="D321" s="30" t="s">
        <v>191</v>
      </c>
      <c r="E321" s="18" t="s">
        <v>229</v>
      </c>
      <c r="F321" s="30"/>
      <c r="G321" s="89" t="s">
        <v>86</v>
      </c>
      <c r="H321" s="38">
        <f>692.4+8.1+3195.3+1502.7</f>
        <v>5398.5</v>
      </c>
      <c r="I321" s="38"/>
    </row>
    <row r="322" spans="1:9" ht="15.75">
      <c r="A322" s="26" t="s">
        <v>328</v>
      </c>
      <c r="B322" s="42" t="s">
        <v>69</v>
      </c>
      <c r="C322" s="22" t="s">
        <v>192</v>
      </c>
      <c r="D322" s="30" t="s">
        <v>188</v>
      </c>
      <c r="E322" s="18"/>
      <c r="F322" s="30"/>
      <c r="G322" s="89"/>
      <c r="H322" s="38">
        <f>H323+H326</f>
        <v>43580.09999999999</v>
      </c>
      <c r="I322" s="38">
        <f>I323+I326</f>
        <v>2383</v>
      </c>
    </row>
    <row r="323" spans="1:9" ht="15.75">
      <c r="A323" s="26" t="s">
        <v>329</v>
      </c>
      <c r="B323" s="42" t="s">
        <v>69</v>
      </c>
      <c r="C323" s="22" t="s">
        <v>192</v>
      </c>
      <c r="D323" s="30" t="s">
        <v>188</v>
      </c>
      <c r="E323" s="18" t="s">
        <v>330</v>
      </c>
      <c r="F323" s="30"/>
      <c r="G323" s="89"/>
      <c r="H323" s="38">
        <f>H324</f>
        <v>40627.899999999994</v>
      </c>
      <c r="I323" s="38">
        <f>I324</f>
        <v>0</v>
      </c>
    </row>
    <row r="324" spans="1:9" ht="15.75">
      <c r="A324" s="26" t="s">
        <v>27</v>
      </c>
      <c r="B324" s="42" t="s">
        <v>69</v>
      </c>
      <c r="C324" s="22" t="s">
        <v>192</v>
      </c>
      <c r="D324" s="30" t="s">
        <v>188</v>
      </c>
      <c r="E324" s="18" t="s">
        <v>331</v>
      </c>
      <c r="F324" s="30"/>
      <c r="G324" s="89"/>
      <c r="H324" s="38">
        <f>H325</f>
        <v>40627.899999999994</v>
      </c>
      <c r="I324" s="38">
        <f>I325</f>
        <v>0</v>
      </c>
    </row>
    <row r="325" spans="1:9" ht="15.75">
      <c r="A325" s="26" t="s">
        <v>172</v>
      </c>
      <c r="B325" s="42" t="s">
        <v>69</v>
      </c>
      <c r="C325" s="22" t="s">
        <v>192</v>
      </c>
      <c r="D325" s="30" t="s">
        <v>188</v>
      </c>
      <c r="E325" s="18" t="s">
        <v>331</v>
      </c>
      <c r="F325" s="30"/>
      <c r="G325" s="89" t="s">
        <v>86</v>
      </c>
      <c r="H325" s="38">
        <f>28136.2+538.6+657+6.1-917.5-770+402+12575.5</f>
        <v>40627.899999999994</v>
      </c>
      <c r="I325" s="38"/>
    </row>
    <row r="326" spans="1:9" ht="15.75">
      <c r="A326" s="26" t="s">
        <v>125</v>
      </c>
      <c r="B326" s="42" t="s">
        <v>69</v>
      </c>
      <c r="C326" s="22" t="s">
        <v>192</v>
      </c>
      <c r="D326" s="30" t="s">
        <v>188</v>
      </c>
      <c r="E326" s="18" t="s">
        <v>95</v>
      </c>
      <c r="F326" s="30"/>
      <c r="G326" s="89"/>
      <c r="H326" s="38">
        <f>H327</f>
        <v>2952.2</v>
      </c>
      <c r="I326" s="38">
        <f>I327</f>
        <v>2383</v>
      </c>
    </row>
    <row r="327" spans="1:9" ht="39">
      <c r="A327" s="46" t="s">
        <v>332</v>
      </c>
      <c r="B327" s="42" t="s">
        <v>69</v>
      </c>
      <c r="C327" s="22" t="s">
        <v>192</v>
      </c>
      <c r="D327" s="30" t="s">
        <v>188</v>
      </c>
      <c r="E327" s="18" t="s">
        <v>276</v>
      </c>
      <c r="F327" s="30"/>
      <c r="G327" s="89"/>
      <c r="H327" s="38">
        <f>H328</f>
        <v>2952.2</v>
      </c>
      <c r="I327" s="38">
        <f>I328</f>
        <v>2383</v>
      </c>
    </row>
    <row r="328" spans="1:9" ht="15.75">
      <c r="A328" s="26" t="s">
        <v>172</v>
      </c>
      <c r="B328" s="42" t="s">
        <v>69</v>
      </c>
      <c r="C328" s="22" t="s">
        <v>192</v>
      </c>
      <c r="D328" s="30" t="s">
        <v>188</v>
      </c>
      <c r="E328" s="18" t="s">
        <v>276</v>
      </c>
      <c r="F328" s="30"/>
      <c r="G328" s="89" t="s">
        <v>86</v>
      </c>
      <c r="H328" s="38">
        <f>2403+569.2+80-100</f>
        <v>2952.2</v>
      </c>
      <c r="I328" s="38">
        <f>2403+80-100</f>
        <v>2383</v>
      </c>
    </row>
    <row r="329" spans="1:9" ht="15.75">
      <c r="A329" s="112" t="s">
        <v>45</v>
      </c>
      <c r="B329" s="43" t="s">
        <v>69</v>
      </c>
      <c r="C329" s="18" t="s">
        <v>192</v>
      </c>
      <c r="D329" s="30" t="s">
        <v>193</v>
      </c>
      <c r="E329" s="18"/>
      <c r="F329" s="7"/>
      <c r="G329" s="49"/>
      <c r="H329" s="38">
        <f>H330</f>
        <v>685.3999999999999</v>
      </c>
      <c r="I329" s="38"/>
    </row>
    <row r="330" spans="1:9" ht="15.75">
      <c r="A330" s="8" t="s">
        <v>131</v>
      </c>
      <c r="B330" s="43" t="s">
        <v>69</v>
      </c>
      <c r="C330" s="18" t="s">
        <v>192</v>
      </c>
      <c r="D330" s="30" t="s">
        <v>193</v>
      </c>
      <c r="E330" s="18" t="s">
        <v>132</v>
      </c>
      <c r="F330" s="7"/>
      <c r="G330" s="49"/>
      <c r="H330" s="38">
        <f>H333+H331+H335</f>
        <v>685.3999999999999</v>
      </c>
      <c r="I330" s="38"/>
    </row>
    <row r="331" spans="1:9" ht="39">
      <c r="A331" s="101" t="s">
        <v>346</v>
      </c>
      <c r="B331" s="43" t="s">
        <v>69</v>
      </c>
      <c r="C331" s="18" t="s">
        <v>192</v>
      </c>
      <c r="D331" s="30" t="s">
        <v>193</v>
      </c>
      <c r="E331" s="18" t="s">
        <v>347</v>
      </c>
      <c r="F331" s="7"/>
      <c r="G331" s="49"/>
      <c r="H331" s="38">
        <f>H332</f>
        <v>671.2</v>
      </c>
      <c r="I331" s="38"/>
    </row>
    <row r="332" spans="1:9" ht="15.75">
      <c r="A332" s="33" t="s">
        <v>146</v>
      </c>
      <c r="B332" s="43" t="s">
        <v>69</v>
      </c>
      <c r="C332" s="18" t="s">
        <v>192</v>
      </c>
      <c r="D332" s="30" t="s">
        <v>193</v>
      </c>
      <c r="E332" s="18" t="s">
        <v>347</v>
      </c>
      <c r="F332" s="7"/>
      <c r="G332" s="49" t="s">
        <v>274</v>
      </c>
      <c r="H332" s="38">
        <f>2544.5-1500+500-873.3</f>
        <v>671.2</v>
      </c>
      <c r="I332" s="38"/>
    </row>
    <row r="333" spans="1:9" ht="39">
      <c r="A333" s="101" t="s">
        <v>342</v>
      </c>
      <c r="B333" s="43" t="s">
        <v>69</v>
      </c>
      <c r="C333" s="18" t="s">
        <v>192</v>
      </c>
      <c r="D333" s="30" t="s">
        <v>193</v>
      </c>
      <c r="E333" s="18" t="s">
        <v>343</v>
      </c>
      <c r="F333" s="7"/>
      <c r="G333" s="49"/>
      <c r="H333" s="38">
        <f>H334</f>
        <v>14.199999999999818</v>
      </c>
      <c r="I333" s="38"/>
    </row>
    <row r="334" spans="1:9" ht="15.75">
      <c r="A334" s="33" t="s">
        <v>146</v>
      </c>
      <c r="B334" s="43" t="s">
        <v>69</v>
      </c>
      <c r="C334" s="18" t="s">
        <v>192</v>
      </c>
      <c r="D334" s="30" t="s">
        <v>193</v>
      </c>
      <c r="E334" s="18" t="s">
        <v>343</v>
      </c>
      <c r="F334" s="7"/>
      <c r="G334" s="49" t="s">
        <v>274</v>
      </c>
      <c r="H334" s="38">
        <f>8187.4-3544.5-2500-2128.7</f>
        <v>14.199999999999818</v>
      </c>
      <c r="I334" s="38"/>
    </row>
    <row r="335" spans="1:9" ht="26.25">
      <c r="A335" s="209" t="s">
        <v>348</v>
      </c>
      <c r="B335" s="43" t="s">
        <v>69</v>
      </c>
      <c r="C335" s="18" t="s">
        <v>192</v>
      </c>
      <c r="D335" s="30" t="s">
        <v>193</v>
      </c>
      <c r="E335" s="18" t="s">
        <v>349</v>
      </c>
      <c r="F335" s="7"/>
      <c r="G335" s="49"/>
      <c r="H335" s="38">
        <f>H336</f>
        <v>0</v>
      </c>
      <c r="I335" s="38"/>
    </row>
    <row r="336" spans="1:9" ht="15.75">
      <c r="A336" s="33" t="s">
        <v>146</v>
      </c>
      <c r="B336" s="43" t="s">
        <v>69</v>
      </c>
      <c r="C336" s="18" t="s">
        <v>192</v>
      </c>
      <c r="D336" s="30" t="s">
        <v>193</v>
      </c>
      <c r="E336" s="18" t="s">
        <v>349</v>
      </c>
      <c r="F336" s="7"/>
      <c r="G336" s="49" t="s">
        <v>274</v>
      </c>
      <c r="H336" s="38">
        <f>1000-500-500</f>
        <v>0</v>
      </c>
      <c r="I336" s="38"/>
    </row>
    <row r="337" spans="1:9" ht="15.75">
      <c r="A337" s="103" t="s">
        <v>5</v>
      </c>
      <c r="B337" s="98" t="s">
        <v>69</v>
      </c>
      <c r="C337" s="95" t="s">
        <v>193</v>
      </c>
      <c r="D337" s="107" t="s">
        <v>126</v>
      </c>
      <c r="E337" s="95"/>
      <c r="F337" s="93"/>
      <c r="G337" s="90"/>
      <c r="H337" s="79">
        <f aca="true" t="shared" si="16" ref="H337:I340">H338</f>
        <v>1000</v>
      </c>
      <c r="I337" s="79">
        <f t="shared" si="16"/>
        <v>0</v>
      </c>
    </row>
    <row r="338" spans="1:9" ht="15.75">
      <c r="A338" s="8" t="s">
        <v>130</v>
      </c>
      <c r="B338" s="43" t="s">
        <v>69</v>
      </c>
      <c r="C338" s="18" t="s">
        <v>193</v>
      </c>
      <c r="D338" s="30" t="s">
        <v>205</v>
      </c>
      <c r="E338" s="18"/>
      <c r="F338" s="7"/>
      <c r="G338" s="49"/>
      <c r="H338" s="38">
        <f t="shared" si="16"/>
        <v>1000</v>
      </c>
      <c r="I338" s="38">
        <f t="shared" si="16"/>
        <v>0</v>
      </c>
    </row>
    <row r="339" spans="1:9" ht="15.75">
      <c r="A339" s="8" t="s">
        <v>131</v>
      </c>
      <c r="B339" s="43" t="s">
        <v>69</v>
      </c>
      <c r="C339" s="18" t="s">
        <v>193</v>
      </c>
      <c r="D339" s="30" t="s">
        <v>205</v>
      </c>
      <c r="E339" s="18" t="s">
        <v>132</v>
      </c>
      <c r="F339" s="7"/>
      <c r="G339" s="49"/>
      <c r="H339" s="38">
        <f t="shared" si="16"/>
        <v>1000</v>
      </c>
      <c r="I339" s="38">
        <f t="shared" si="16"/>
        <v>0</v>
      </c>
    </row>
    <row r="340" spans="1:9" ht="26.25">
      <c r="A340" s="101" t="s">
        <v>244</v>
      </c>
      <c r="B340" s="43" t="s">
        <v>69</v>
      </c>
      <c r="C340" s="18" t="s">
        <v>193</v>
      </c>
      <c r="D340" s="30" t="s">
        <v>205</v>
      </c>
      <c r="E340" s="18" t="s">
        <v>245</v>
      </c>
      <c r="F340" s="7"/>
      <c r="G340" s="49"/>
      <c r="H340" s="38">
        <f t="shared" si="16"/>
        <v>1000</v>
      </c>
      <c r="I340" s="38">
        <f t="shared" si="16"/>
        <v>0</v>
      </c>
    </row>
    <row r="341" spans="1:9" ht="16.5" thickBot="1">
      <c r="A341" s="33" t="s">
        <v>146</v>
      </c>
      <c r="B341" s="16" t="s">
        <v>69</v>
      </c>
      <c r="C341" s="15" t="s">
        <v>193</v>
      </c>
      <c r="D341" s="10" t="s">
        <v>205</v>
      </c>
      <c r="E341" s="15" t="s">
        <v>245</v>
      </c>
      <c r="F341" s="10" t="s">
        <v>274</v>
      </c>
      <c r="G341" s="124" t="s">
        <v>274</v>
      </c>
      <c r="H341" s="41">
        <f>1000+500-500</f>
        <v>1000</v>
      </c>
      <c r="I341" s="41"/>
    </row>
    <row r="342" spans="1:9" s="23" customFormat="1" ht="57" thickBot="1">
      <c r="A342" s="76" t="s">
        <v>123</v>
      </c>
      <c r="B342" s="28" t="s">
        <v>51</v>
      </c>
      <c r="C342" s="21"/>
      <c r="D342" s="13"/>
      <c r="E342" s="21"/>
      <c r="F342" s="13"/>
      <c r="G342" s="52"/>
      <c r="H342" s="39">
        <f>H343+H355+H348</f>
        <v>10813.3</v>
      </c>
      <c r="I342" s="39">
        <f>I343+I355+I348</f>
        <v>0</v>
      </c>
    </row>
    <row r="343" spans="1:9" ht="28.5" customHeight="1">
      <c r="A343" s="106" t="s">
        <v>17</v>
      </c>
      <c r="B343" s="97" t="s">
        <v>51</v>
      </c>
      <c r="C343" s="17" t="s">
        <v>186</v>
      </c>
      <c r="D343" s="32" t="s">
        <v>126</v>
      </c>
      <c r="E343" s="17"/>
      <c r="F343" s="91"/>
      <c r="G343" s="86"/>
      <c r="H343" s="40">
        <f aca="true" t="shared" si="17" ref="H343:I346">H344</f>
        <v>7373.4</v>
      </c>
      <c r="I343" s="40">
        <f t="shared" si="17"/>
        <v>0</v>
      </c>
    </row>
    <row r="344" spans="1:9" ht="15.75">
      <c r="A344" s="27" t="s">
        <v>80</v>
      </c>
      <c r="B344" s="42" t="s">
        <v>51</v>
      </c>
      <c r="C344" s="22" t="s">
        <v>186</v>
      </c>
      <c r="D344" s="29" t="s">
        <v>190</v>
      </c>
      <c r="E344" s="22"/>
      <c r="F344" s="29"/>
      <c r="G344" s="89"/>
      <c r="H344" s="37">
        <f t="shared" si="17"/>
        <v>7373.4</v>
      </c>
      <c r="I344" s="37">
        <f t="shared" si="17"/>
        <v>0</v>
      </c>
    </row>
    <row r="345" spans="1:9" ht="15.75">
      <c r="A345" s="25" t="s">
        <v>18</v>
      </c>
      <c r="B345" s="43" t="s">
        <v>51</v>
      </c>
      <c r="C345" s="18" t="s">
        <v>186</v>
      </c>
      <c r="D345" s="30" t="s">
        <v>190</v>
      </c>
      <c r="E345" s="18" t="s">
        <v>273</v>
      </c>
      <c r="F345" s="30"/>
      <c r="G345" s="80"/>
      <c r="H345" s="38">
        <f t="shared" si="17"/>
        <v>7373.4</v>
      </c>
      <c r="I345" s="38">
        <f t="shared" si="17"/>
        <v>0</v>
      </c>
    </row>
    <row r="346" spans="1:9" ht="15.75">
      <c r="A346" s="8" t="s">
        <v>50</v>
      </c>
      <c r="B346" s="44" t="s">
        <v>51</v>
      </c>
      <c r="C346" s="20" t="s">
        <v>186</v>
      </c>
      <c r="D346" s="31" t="s">
        <v>190</v>
      </c>
      <c r="E346" s="20" t="s">
        <v>275</v>
      </c>
      <c r="F346" s="5"/>
      <c r="G346" s="50"/>
      <c r="H346" s="38">
        <f t="shared" si="17"/>
        <v>7373.4</v>
      </c>
      <c r="I346" s="38">
        <f t="shared" si="17"/>
        <v>0</v>
      </c>
    </row>
    <row r="347" spans="1:9" ht="15.75">
      <c r="A347" s="8" t="s">
        <v>146</v>
      </c>
      <c r="B347" s="43" t="s">
        <v>51</v>
      </c>
      <c r="C347" s="18" t="s">
        <v>186</v>
      </c>
      <c r="D347" s="30" t="s">
        <v>190</v>
      </c>
      <c r="E347" s="18" t="s">
        <v>275</v>
      </c>
      <c r="F347" s="7"/>
      <c r="G347" s="49" t="s">
        <v>274</v>
      </c>
      <c r="H347" s="38">
        <f>9174.8-209-523.3-233.6-835.5</f>
        <v>7373.4</v>
      </c>
      <c r="I347" s="204"/>
    </row>
    <row r="348" spans="1:9" ht="15.75">
      <c r="A348" s="112" t="s">
        <v>23</v>
      </c>
      <c r="B348" s="98" t="s">
        <v>51</v>
      </c>
      <c r="C348" s="95" t="s">
        <v>200</v>
      </c>
      <c r="D348" s="107" t="s">
        <v>126</v>
      </c>
      <c r="E348" s="95"/>
      <c r="F348" s="93"/>
      <c r="G348" s="90"/>
      <c r="H348" s="38">
        <f>H349</f>
        <v>2937</v>
      </c>
      <c r="I348" s="204"/>
    </row>
    <row r="349" spans="1:9" ht="15.75">
      <c r="A349" s="108" t="s">
        <v>134</v>
      </c>
      <c r="B349" s="98" t="s">
        <v>51</v>
      </c>
      <c r="C349" s="95" t="s">
        <v>200</v>
      </c>
      <c r="D349" s="107" t="s">
        <v>191</v>
      </c>
      <c r="E349" s="95"/>
      <c r="F349" s="107"/>
      <c r="G349" s="126"/>
      <c r="H349" s="38">
        <f>H350</f>
        <v>2937</v>
      </c>
      <c r="I349" s="204"/>
    </row>
    <row r="350" spans="1:9" ht="15.75">
      <c r="A350" s="85" t="s">
        <v>134</v>
      </c>
      <c r="B350" s="43" t="s">
        <v>51</v>
      </c>
      <c r="C350" s="18" t="s">
        <v>200</v>
      </c>
      <c r="D350" s="30" t="s">
        <v>191</v>
      </c>
      <c r="E350" s="20" t="s">
        <v>287</v>
      </c>
      <c r="F350" s="30"/>
      <c r="G350" s="210"/>
      <c r="H350" s="38">
        <f>H351+H353</f>
        <v>2937</v>
      </c>
      <c r="I350" s="204"/>
    </row>
    <row r="351" spans="1:9" ht="15.75">
      <c r="A351" s="8" t="s">
        <v>137</v>
      </c>
      <c r="B351" s="43" t="s">
        <v>51</v>
      </c>
      <c r="C351" s="18" t="s">
        <v>200</v>
      </c>
      <c r="D351" s="30" t="s">
        <v>191</v>
      </c>
      <c r="E351" s="20" t="s">
        <v>315</v>
      </c>
      <c r="F351" s="7"/>
      <c r="G351" s="49"/>
      <c r="H351" s="38">
        <f>H352</f>
        <v>0</v>
      </c>
      <c r="I351" s="204"/>
    </row>
    <row r="352" spans="1:9" ht="15.75">
      <c r="A352" s="27" t="s">
        <v>146</v>
      </c>
      <c r="B352" s="43" t="s">
        <v>51</v>
      </c>
      <c r="C352" s="18" t="s">
        <v>200</v>
      </c>
      <c r="D352" s="30" t="s">
        <v>191</v>
      </c>
      <c r="E352" s="20" t="s">
        <v>315</v>
      </c>
      <c r="F352" s="7"/>
      <c r="G352" s="49" t="s">
        <v>274</v>
      </c>
      <c r="H352" s="38">
        <f>808-808</f>
        <v>0</v>
      </c>
      <c r="I352" s="204"/>
    </row>
    <row r="353" spans="1:9" s="48" customFormat="1" ht="15.75">
      <c r="A353" s="8" t="s">
        <v>317</v>
      </c>
      <c r="B353" s="43" t="s">
        <v>51</v>
      </c>
      <c r="C353" s="18" t="s">
        <v>200</v>
      </c>
      <c r="D353" s="30" t="s">
        <v>191</v>
      </c>
      <c r="E353" s="20" t="s">
        <v>318</v>
      </c>
      <c r="F353" s="7"/>
      <c r="G353" s="49"/>
      <c r="H353" s="38">
        <f>H354</f>
        <v>2937</v>
      </c>
      <c r="I353" s="204"/>
    </row>
    <row r="354" spans="1:9" s="48" customFormat="1" ht="15.75">
      <c r="A354" s="27" t="s">
        <v>146</v>
      </c>
      <c r="B354" s="43" t="s">
        <v>51</v>
      </c>
      <c r="C354" s="18" t="s">
        <v>200</v>
      </c>
      <c r="D354" s="30" t="s">
        <v>191</v>
      </c>
      <c r="E354" s="20" t="s">
        <v>318</v>
      </c>
      <c r="F354" s="7"/>
      <c r="G354" s="49" t="s">
        <v>274</v>
      </c>
      <c r="H354" s="38">
        <f>1300+1437+200</f>
        <v>2937</v>
      </c>
      <c r="I354" s="204"/>
    </row>
    <row r="355" spans="1:9" s="23" customFormat="1" ht="15.75">
      <c r="A355" s="106" t="s">
        <v>34</v>
      </c>
      <c r="B355" s="97" t="s">
        <v>51</v>
      </c>
      <c r="C355" s="17" t="s">
        <v>195</v>
      </c>
      <c r="D355" s="32" t="s">
        <v>186</v>
      </c>
      <c r="E355" s="17"/>
      <c r="F355" s="32"/>
      <c r="G355" s="119"/>
      <c r="H355" s="83">
        <f>H356+H359</f>
        <v>502.9</v>
      </c>
      <c r="I355" s="236"/>
    </row>
    <row r="356" spans="1:9" ht="27" customHeight="1">
      <c r="A356" s="47" t="s">
        <v>100</v>
      </c>
      <c r="B356" s="43" t="s">
        <v>51</v>
      </c>
      <c r="C356" s="22" t="s">
        <v>195</v>
      </c>
      <c r="D356" s="29" t="s">
        <v>186</v>
      </c>
      <c r="E356" s="18" t="s">
        <v>39</v>
      </c>
      <c r="F356" s="30"/>
      <c r="G356" s="80"/>
      <c r="H356" s="38">
        <f>H357</f>
        <v>2.9</v>
      </c>
      <c r="I356" s="204"/>
    </row>
    <row r="357" spans="1:9" ht="26.25">
      <c r="A357" s="46" t="s">
        <v>101</v>
      </c>
      <c r="B357" s="43" t="s">
        <v>51</v>
      </c>
      <c r="C357" s="22" t="s">
        <v>195</v>
      </c>
      <c r="D357" s="29" t="s">
        <v>186</v>
      </c>
      <c r="E357" s="18" t="s">
        <v>226</v>
      </c>
      <c r="F357" s="30"/>
      <c r="G357" s="105"/>
      <c r="H357" s="38">
        <f>H358</f>
        <v>2.9</v>
      </c>
      <c r="I357" s="204"/>
    </row>
    <row r="358" spans="1:9" ht="15.75">
      <c r="A358" s="8" t="s">
        <v>172</v>
      </c>
      <c r="B358" s="43" t="s">
        <v>51</v>
      </c>
      <c r="C358" s="18" t="s">
        <v>195</v>
      </c>
      <c r="D358" s="30" t="s">
        <v>186</v>
      </c>
      <c r="E358" s="18" t="s">
        <v>226</v>
      </c>
      <c r="F358" s="30"/>
      <c r="G358" s="80" t="s">
        <v>86</v>
      </c>
      <c r="H358" s="38">
        <f>700-700+2.9</f>
        <v>2.9</v>
      </c>
      <c r="I358" s="204"/>
    </row>
    <row r="359" spans="1:9" ht="15.75">
      <c r="A359" s="25" t="s">
        <v>131</v>
      </c>
      <c r="B359" s="43" t="s">
        <v>51</v>
      </c>
      <c r="C359" s="22" t="s">
        <v>195</v>
      </c>
      <c r="D359" s="29" t="s">
        <v>186</v>
      </c>
      <c r="E359" s="18" t="s">
        <v>132</v>
      </c>
      <c r="F359" s="30"/>
      <c r="G359" s="80"/>
      <c r="H359" s="38">
        <f>H360</f>
        <v>500</v>
      </c>
      <c r="I359" s="204"/>
    </row>
    <row r="360" spans="1:9" ht="26.25">
      <c r="A360" s="101" t="s">
        <v>251</v>
      </c>
      <c r="B360" s="43" t="s">
        <v>51</v>
      </c>
      <c r="C360" s="22" t="s">
        <v>195</v>
      </c>
      <c r="D360" s="29" t="s">
        <v>186</v>
      </c>
      <c r="E360" s="18" t="s">
        <v>250</v>
      </c>
      <c r="F360" s="30"/>
      <c r="G360" s="80"/>
      <c r="H360" s="38">
        <f>H361</f>
        <v>500</v>
      </c>
      <c r="I360" s="204"/>
    </row>
    <row r="361" spans="1:9" ht="27" thickBot="1">
      <c r="A361" s="101" t="s">
        <v>338</v>
      </c>
      <c r="B361" s="43" t="s">
        <v>51</v>
      </c>
      <c r="C361" s="22" t="s">
        <v>195</v>
      </c>
      <c r="D361" s="29" t="s">
        <v>186</v>
      </c>
      <c r="E361" s="18" t="s">
        <v>250</v>
      </c>
      <c r="F361" s="30"/>
      <c r="G361" s="80" t="s">
        <v>339</v>
      </c>
      <c r="H361" s="37">
        <f>700-200</f>
        <v>500</v>
      </c>
      <c r="I361" s="229"/>
    </row>
    <row r="362" spans="1:9" ht="38.25" thickBot="1">
      <c r="A362" s="76" t="s">
        <v>120</v>
      </c>
      <c r="B362" s="28" t="s">
        <v>87</v>
      </c>
      <c r="C362" s="21"/>
      <c r="D362" s="13"/>
      <c r="E362" s="21"/>
      <c r="F362" s="13"/>
      <c r="G362" s="52"/>
      <c r="H362" s="39">
        <f>H363+H380</f>
        <v>27463.100000000002</v>
      </c>
      <c r="I362" s="39">
        <f>I363+I380</f>
        <v>0</v>
      </c>
    </row>
    <row r="363" spans="1:9" ht="15.75">
      <c r="A363" s="106" t="s">
        <v>6</v>
      </c>
      <c r="B363" s="97" t="s">
        <v>87</v>
      </c>
      <c r="C363" s="17" t="s">
        <v>194</v>
      </c>
      <c r="D363" s="32" t="s">
        <v>126</v>
      </c>
      <c r="E363" s="17"/>
      <c r="F363" s="91"/>
      <c r="G363" s="86"/>
      <c r="H363" s="37">
        <f>H364+H368</f>
        <v>6555.400000000001</v>
      </c>
      <c r="I363" s="37">
        <f>I364+I368</f>
        <v>0</v>
      </c>
    </row>
    <row r="364" spans="1:9" ht="15.75">
      <c r="A364" s="8" t="s">
        <v>9</v>
      </c>
      <c r="B364" s="42" t="s">
        <v>87</v>
      </c>
      <c r="C364" s="18" t="s">
        <v>194</v>
      </c>
      <c r="D364" s="29" t="s">
        <v>187</v>
      </c>
      <c r="E364" s="22"/>
      <c r="F364" s="29"/>
      <c r="G364" s="89"/>
      <c r="H364" s="83">
        <f aca="true" t="shared" si="18" ref="H364:I366">H365</f>
        <v>2237.3</v>
      </c>
      <c r="I364" s="83">
        <f t="shared" si="18"/>
        <v>0</v>
      </c>
    </row>
    <row r="365" spans="1:9" ht="15.75">
      <c r="A365" s="33" t="s">
        <v>31</v>
      </c>
      <c r="B365" s="16" t="s">
        <v>87</v>
      </c>
      <c r="C365" s="18" t="s">
        <v>194</v>
      </c>
      <c r="D365" s="29" t="s">
        <v>187</v>
      </c>
      <c r="E365" s="15" t="s">
        <v>32</v>
      </c>
      <c r="F365" s="10"/>
      <c r="G365" s="80"/>
      <c r="H365" s="37">
        <f t="shared" si="18"/>
        <v>2237.3</v>
      </c>
      <c r="I365" s="37">
        <f t="shared" si="18"/>
        <v>0</v>
      </c>
    </row>
    <row r="366" spans="1:9" ht="15.75">
      <c r="A366" s="26" t="s">
        <v>27</v>
      </c>
      <c r="B366" s="44" t="s">
        <v>87</v>
      </c>
      <c r="C366" s="18" t="s">
        <v>194</v>
      </c>
      <c r="D366" s="29" t="s">
        <v>187</v>
      </c>
      <c r="E366" s="20" t="s">
        <v>212</v>
      </c>
      <c r="F366" s="10"/>
      <c r="G366" s="55"/>
      <c r="H366" s="38">
        <f t="shared" si="18"/>
        <v>2237.3</v>
      </c>
      <c r="I366" s="38">
        <f t="shared" si="18"/>
        <v>0</v>
      </c>
    </row>
    <row r="367" spans="1:9" ht="15.75">
      <c r="A367" s="8" t="s">
        <v>172</v>
      </c>
      <c r="B367" s="44" t="s">
        <v>87</v>
      </c>
      <c r="C367" s="18" t="s">
        <v>194</v>
      </c>
      <c r="D367" s="29" t="s">
        <v>187</v>
      </c>
      <c r="E367" s="20" t="s">
        <v>212</v>
      </c>
      <c r="F367" s="10"/>
      <c r="G367" s="80" t="s">
        <v>86</v>
      </c>
      <c r="H367" s="38">
        <f>2335-117.7+20</f>
        <v>2237.3</v>
      </c>
      <c r="I367" s="204"/>
    </row>
    <row r="368" spans="1:9" ht="15.75">
      <c r="A368" s="25" t="s">
        <v>29</v>
      </c>
      <c r="B368" s="43" t="s">
        <v>87</v>
      </c>
      <c r="C368" s="22" t="s">
        <v>194</v>
      </c>
      <c r="D368" s="30" t="s">
        <v>194</v>
      </c>
      <c r="E368" s="18"/>
      <c r="F368" s="30"/>
      <c r="G368" s="80"/>
      <c r="H368" s="38">
        <f>H369+H374+H377</f>
        <v>4318.1</v>
      </c>
      <c r="I368" s="38">
        <f>I369+I374+I377</f>
        <v>0</v>
      </c>
    </row>
    <row r="369" spans="1:9" ht="15.75">
      <c r="A369" s="25" t="s">
        <v>92</v>
      </c>
      <c r="B369" s="43" t="s">
        <v>87</v>
      </c>
      <c r="C369" s="22" t="s">
        <v>194</v>
      </c>
      <c r="D369" s="30" t="s">
        <v>194</v>
      </c>
      <c r="E369" s="18" t="s">
        <v>93</v>
      </c>
      <c r="F369" s="30"/>
      <c r="G369" s="80"/>
      <c r="H369" s="38">
        <f>H370+H373</f>
        <v>3374.2999999999997</v>
      </c>
      <c r="I369" s="38">
        <f>I370</f>
        <v>0</v>
      </c>
    </row>
    <row r="370" spans="1:9" ht="15.75">
      <c r="A370" s="26" t="s">
        <v>94</v>
      </c>
      <c r="B370" s="43" t="s">
        <v>87</v>
      </c>
      <c r="C370" s="22" t="s">
        <v>194</v>
      </c>
      <c r="D370" s="30" t="s">
        <v>194</v>
      </c>
      <c r="E370" s="18" t="s">
        <v>214</v>
      </c>
      <c r="F370" s="30"/>
      <c r="G370" s="105"/>
      <c r="H370" s="38">
        <f>H371</f>
        <v>61.6</v>
      </c>
      <c r="I370" s="38">
        <f>I371</f>
        <v>0</v>
      </c>
    </row>
    <row r="371" spans="1:9" ht="15.75">
      <c r="A371" s="8" t="s">
        <v>172</v>
      </c>
      <c r="B371" s="43" t="s">
        <v>87</v>
      </c>
      <c r="C371" s="22" t="s">
        <v>194</v>
      </c>
      <c r="D371" s="30" t="s">
        <v>194</v>
      </c>
      <c r="E371" s="18" t="s">
        <v>214</v>
      </c>
      <c r="F371" s="30" t="s">
        <v>15</v>
      </c>
      <c r="G371" s="80" t="s">
        <v>86</v>
      </c>
      <c r="H371" s="38">
        <v>61.6</v>
      </c>
      <c r="I371" s="204"/>
    </row>
    <row r="372" spans="1:9" ht="15.75">
      <c r="A372" s="26" t="s">
        <v>27</v>
      </c>
      <c r="B372" s="43" t="s">
        <v>87</v>
      </c>
      <c r="C372" s="22" t="s">
        <v>194</v>
      </c>
      <c r="D372" s="30" t="s">
        <v>194</v>
      </c>
      <c r="E372" s="20" t="s">
        <v>448</v>
      </c>
      <c r="F372" s="10"/>
      <c r="G372" s="80"/>
      <c r="H372" s="38">
        <f>H373</f>
        <v>3312.7</v>
      </c>
      <c r="I372" s="204"/>
    </row>
    <row r="373" spans="1:9" ht="15.75">
      <c r="A373" s="8" t="s">
        <v>172</v>
      </c>
      <c r="B373" s="43" t="s">
        <v>87</v>
      </c>
      <c r="C373" s="22" t="s">
        <v>194</v>
      </c>
      <c r="D373" s="30" t="s">
        <v>194</v>
      </c>
      <c r="E373" s="20" t="s">
        <v>448</v>
      </c>
      <c r="F373" s="10"/>
      <c r="G373" s="80" t="s">
        <v>86</v>
      </c>
      <c r="H373" s="38">
        <v>3312.7</v>
      </c>
      <c r="I373" s="204"/>
    </row>
    <row r="374" spans="1:9" ht="15.75">
      <c r="A374" s="47" t="s">
        <v>215</v>
      </c>
      <c r="B374" s="44" t="s">
        <v>87</v>
      </c>
      <c r="C374" s="22" t="s">
        <v>194</v>
      </c>
      <c r="D374" s="31" t="s">
        <v>194</v>
      </c>
      <c r="E374" s="20" t="s">
        <v>30</v>
      </c>
      <c r="F374" s="10"/>
      <c r="G374" s="80"/>
      <c r="H374" s="38">
        <f>H375</f>
        <v>548.4</v>
      </c>
      <c r="I374" s="38">
        <f>I375</f>
        <v>0</v>
      </c>
    </row>
    <row r="375" spans="1:9" ht="15.75">
      <c r="A375" s="26" t="s">
        <v>252</v>
      </c>
      <c r="B375" s="44" t="s">
        <v>87</v>
      </c>
      <c r="C375" s="22" t="s">
        <v>194</v>
      </c>
      <c r="D375" s="31" t="s">
        <v>194</v>
      </c>
      <c r="E375" s="20" t="s">
        <v>217</v>
      </c>
      <c r="F375" s="10"/>
      <c r="G375" s="54"/>
      <c r="H375" s="38">
        <f>H376</f>
        <v>548.4</v>
      </c>
      <c r="I375" s="38">
        <f>I376</f>
        <v>0</v>
      </c>
    </row>
    <row r="376" spans="1:9" ht="15.75">
      <c r="A376" s="8" t="s">
        <v>172</v>
      </c>
      <c r="B376" s="44" t="s">
        <v>87</v>
      </c>
      <c r="C376" s="22" t="s">
        <v>194</v>
      </c>
      <c r="D376" s="31" t="s">
        <v>194</v>
      </c>
      <c r="E376" s="20" t="s">
        <v>217</v>
      </c>
      <c r="F376" s="10"/>
      <c r="G376" s="80" t="s">
        <v>86</v>
      </c>
      <c r="H376" s="38">
        <f>500+30+18.4</f>
        <v>548.4</v>
      </c>
      <c r="I376" s="204"/>
    </row>
    <row r="377" spans="1:9" ht="15.75">
      <c r="A377" s="25" t="s">
        <v>131</v>
      </c>
      <c r="B377" s="44" t="s">
        <v>87</v>
      </c>
      <c r="C377" s="22" t="s">
        <v>194</v>
      </c>
      <c r="D377" s="31" t="s">
        <v>194</v>
      </c>
      <c r="E377" s="20" t="s">
        <v>132</v>
      </c>
      <c r="F377" s="10"/>
      <c r="G377" s="105"/>
      <c r="H377" s="38">
        <f>H378</f>
        <v>395.4000000000001</v>
      </c>
      <c r="I377" s="38">
        <f>I378</f>
        <v>0</v>
      </c>
    </row>
    <row r="378" spans="1:9" ht="26.25">
      <c r="A378" s="101" t="s">
        <v>253</v>
      </c>
      <c r="B378" s="44" t="s">
        <v>87</v>
      </c>
      <c r="C378" s="22" t="s">
        <v>194</v>
      </c>
      <c r="D378" s="31" t="s">
        <v>194</v>
      </c>
      <c r="E378" s="20" t="s">
        <v>254</v>
      </c>
      <c r="F378" s="10"/>
      <c r="G378" s="105"/>
      <c r="H378" s="38">
        <f>H379</f>
        <v>395.4000000000001</v>
      </c>
      <c r="I378" s="38">
        <f>I379</f>
        <v>0</v>
      </c>
    </row>
    <row r="379" spans="1:9" ht="15.75">
      <c r="A379" s="27" t="s">
        <v>146</v>
      </c>
      <c r="B379" s="44" t="s">
        <v>87</v>
      </c>
      <c r="C379" s="22" t="s">
        <v>194</v>
      </c>
      <c r="D379" s="31" t="s">
        <v>194</v>
      </c>
      <c r="E379" s="20" t="s">
        <v>221</v>
      </c>
      <c r="F379" s="10"/>
      <c r="G379" s="105" t="s">
        <v>274</v>
      </c>
      <c r="H379" s="38">
        <f>1295.4-500-400</f>
        <v>395.4000000000001</v>
      </c>
      <c r="I379" s="204"/>
    </row>
    <row r="380" spans="1:9" ht="15.75">
      <c r="A380" s="112" t="s">
        <v>255</v>
      </c>
      <c r="B380" s="98" t="s">
        <v>87</v>
      </c>
      <c r="C380" s="95" t="s">
        <v>192</v>
      </c>
      <c r="D380" s="107" t="s">
        <v>126</v>
      </c>
      <c r="E380" s="95"/>
      <c r="F380" s="93"/>
      <c r="G380" s="90"/>
      <c r="H380" s="79">
        <f>H381+H391</f>
        <v>20907.7</v>
      </c>
      <c r="I380" s="79">
        <f>I381+I391</f>
        <v>0</v>
      </c>
    </row>
    <row r="381" spans="1:9" ht="15.75">
      <c r="A381" s="106" t="s">
        <v>230</v>
      </c>
      <c r="B381" s="97" t="s">
        <v>87</v>
      </c>
      <c r="C381" s="17" t="s">
        <v>192</v>
      </c>
      <c r="D381" s="32" t="s">
        <v>195</v>
      </c>
      <c r="E381" s="17"/>
      <c r="F381" s="32"/>
      <c r="G381" s="119"/>
      <c r="H381" s="83">
        <f>H385+H388+H382</f>
        <v>12099.6</v>
      </c>
      <c r="I381" s="83">
        <f>I385+I388</f>
        <v>0</v>
      </c>
    </row>
    <row r="382" spans="1:9" ht="15.75">
      <c r="A382" s="223" t="s">
        <v>400</v>
      </c>
      <c r="B382" s="43" t="s">
        <v>87</v>
      </c>
      <c r="C382" s="43" t="s">
        <v>192</v>
      </c>
      <c r="D382" s="18" t="s">
        <v>195</v>
      </c>
      <c r="E382" s="18" t="s">
        <v>401</v>
      </c>
      <c r="F382" s="30"/>
      <c r="G382" s="80"/>
      <c r="H382" s="268">
        <f>H383</f>
        <v>580.2</v>
      </c>
      <c r="I382" s="83"/>
    </row>
    <row r="383" spans="1:9" ht="15.75">
      <c r="A383" s="223" t="s">
        <v>404</v>
      </c>
      <c r="B383" s="43" t="s">
        <v>87</v>
      </c>
      <c r="C383" s="43" t="s">
        <v>192</v>
      </c>
      <c r="D383" s="18" t="s">
        <v>195</v>
      </c>
      <c r="E383" s="18" t="s">
        <v>403</v>
      </c>
      <c r="F383" s="7"/>
      <c r="G383" s="54"/>
      <c r="H383" s="268">
        <f>H384</f>
        <v>580.2</v>
      </c>
      <c r="I383" s="83"/>
    </row>
    <row r="384" spans="1:9" ht="15.75">
      <c r="A384" s="206" t="s">
        <v>172</v>
      </c>
      <c r="B384" s="43" t="s">
        <v>87</v>
      </c>
      <c r="C384" s="43" t="s">
        <v>192</v>
      </c>
      <c r="D384" s="18" t="s">
        <v>195</v>
      </c>
      <c r="E384" s="18" t="s">
        <v>403</v>
      </c>
      <c r="F384" s="30"/>
      <c r="G384" s="80" t="s">
        <v>86</v>
      </c>
      <c r="H384" s="268">
        <f>35.2+500+45</f>
        <v>580.2</v>
      </c>
      <c r="I384" s="83"/>
    </row>
    <row r="385" spans="1:9" ht="15.75">
      <c r="A385" s="25" t="s">
        <v>78</v>
      </c>
      <c r="B385" s="43" t="s">
        <v>87</v>
      </c>
      <c r="C385" s="18" t="s">
        <v>192</v>
      </c>
      <c r="D385" s="30" t="s">
        <v>195</v>
      </c>
      <c r="E385" s="18" t="s">
        <v>79</v>
      </c>
      <c r="F385" s="30"/>
      <c r="G385" s="80"/>
      <c r="H385" s="38">
        <f>H386</f>
        <v>9485.5</v>
      </c>
      <c r="I385" s="38">
        <f>I386</f>
        <v>0</v>
      </c>
    </row>
    <row r="386" spans="1:9" ht="15.75">
      <c r="A386" s="26" t="s">
        <v>27</v>
      </c>
      <c r="B386" s="43" t="s">
        <v>87</v>
      </c>
      <c r="C386" s="18" t="s">
        <v>192</v>
      </c>
      <c r="D386" s="30" t="s">
        <v>195</v>
      </c>
      <c r="E386" s="18" t="s">
        <v>231</v>
      </c>
      <c r="F386" s="30"/>
      <c r="G386" s="54"/>
      <c r="H386" s="38">
        <f>H387</f>
        <v>9485.5</v>
      </c>
      <c r="I386" s="38">
        <f>I387</f>
        <v>0</v>
      </c>
    </row>
    <row r="387" spans="1:9" ht="15.75">
      <c r="A387" s="8" t="s">
        <v>172</v>
      </c>
      <c r="B387" s="43" t="s">
        <v>87</v>
      </c>
      <c r="C387" s="18" t="s">
        <v>192</v>
      </c>
      <c r="D387" s="30" t="s">
        <v>195</v>
      </c>
      <c r="E387" s="18" t="s">
        <v>231</v>
      </c>
      <c r="F387" s="30"/>
      <c r="G387" s="80" t="s">
        <v>86</v>
      </c>
      <c r="H387" s="38">
        <f>10915-1384.5-45</f>
        <v>9485.5</v>
      </c>
      <c r="I387" s="204"/>
    </row>
    <row r="388" spans="1:9" ht="13.5" customHeight="1">
      <c r="A388" s="25" t="s">
        <v>131</v>
      </c>
      <c r="B388" s="43" t="s">
        <v>87</v>
      </c>
      <c r="C388" s="18" t="s">
        <v>192</v>
      </c>
      <c r="D388" s="30" t="s">
        <v>195</v>
      </c>
      <c r="E388" s="18" t="s">
        <v>132</v>
      </c>
      <c r="F388" s="30"/>
      <c r="G388" s="80"/>
      <c r="H388" s="38">
        <f>H389</f>
        <v>2033.9</v>
      </c>
      <c r="I388" s="38">
        <f>I389</f>
        <v>0</v>
      </c>
    </row>
    <row r="389" spans="1:9" s="23" customFormat="1" ht="26.25">
      <c r="A389" s="101" t="s">
        <v>353</v>
      </c>
      <c r="B389" s="43" t="s">
        <v>87</v>
      </c>
      <c r="C389" s="18" t="s">
        <v>192</v>
      </c>
      <c r="D389" s="30" t="s">
        <v>195</v>
      </c>
      <c r="E389" s="18" t="s">
        <v>256</v>
      </c>
      <c r="F389" s="30"/>
      <c r="G389" s="80"/>
      <c r="H389" s="38">
        <f>H390</f>
        <v>2033.9</v>
      </c>
      <c r="I389" s="38">
        <f>I390</f>
        <v>0</v>
      </c>
    </row>
    <row r="390" spans="1:9" ht="15.75">
      <c r="A390" s="27" t="s">
        <v>146</v>
      </c>
      <c r="B390" s="43" t="s">
        <v>87</v>
      </c>
      <c r="C390" s="18" t="s">
        <v>192</v>
      </c>
      <c r="D390" s="30" t="s">
        <v>195</v>
      </c>
      <c r="E390" s="18" t="s">
        <v>256</v>
      </c>
      <c r="F390" s="30"/>
      <c r="G390" s="80" t="s">
        <v>274</v>
      </c>
      <c r="H390" s="38">
        <f>3469+64.9-2000+500</f>
        <v>2033.9</v>
      </c>
      <c r="I390" s="204"/>
    </row>
    <row r="391" spans="1:9" ht="15.75">
      <c r="A391" s="112" t="s">
        <v>45</v>
      </c>
      <c r="B391" s="98" t="s">
        <v>87</v>
      </c>
      <c r="C391" s="95" t="s">
        <v>192</v>
      </c>
      <c r="D391" s="107" t="s">
        <v>193</v>
      </c>
      <c r="E391" s="95"/>
      <c r="F391" s="107"/>
      <c r="G391" s="117"/>
      <c r="H391" s="79">
        <f aca="true" t="shared" si="19" ref="H391:I393">H392</f>
        <v>8808.1</v>
      </c>
      <c r="I391" s="79">
        <f t="shared" si="19"/>
        <v>0</v>
      </c>
    </row>
    <row r="392" spans="1:9" ht="15.75">
      <c r="A392" s="47" t="s">
        <v>147</v>
      </c>
      <c r="B392" s="43" t="s">
        <v>87</v>
      </c>
      <c r="C392" s="18" t="s">
        <v>192</v>
      </c>
      <c r="D392" s="30" t="s">
        <v>193</v>
      </c>
      <c r="E392" s="18" t="s">
        <v>273</v>
      </c>
      <c r="F392" s="30"/>
      <c r="G392" s="80"/>
      <c r="H392" s="38">
        <f t="shared" si="19"/>
        <v>8808.1</v>
      </c>
      <c r="I392" s="38">
        <f t="shared" si="19"/>
        <v>0</v>
      </c>
    </row>
    <row r="393" spans="1:9" ht="15.75">
      <c r="A393" s="27" t="s">
        <v>50</v>
      </c>
      <c r="B393" s="43" t="s">
        <v>87</v>
      </c>
      <c r="C393" s="18" t="s">
        <v>192</v>
      </c>
      <c r="D393" s="30" t="s">
        <v>193</v>
      </c>
      <c r="E393" s="18" t="s">
        <v>275</v>
      </c>
      <c r="F393" s="7"/>
      <c r="G393" s="80"/>
      <c r="H393" s="38">
        <f t="shared" si="19"/>
        <v>8808.1</v>
      </c>
      <c r="I393" s="38">
        <f t="shared" si="19"/>
        <v>0</v>
      </c>
    </row>
    <row r="394" spans="1:9" ht="16.5" thickBot="1">
      <c r="A394" s="27" t="s">
        <v>146</v>
      </c>
      <c r="B394" s="44" t="s">
        <v>87</v>
      </c>
      <c r="C394" s="20" t="s">
        <v>192</v>
      </c>
      <c r="D394" s="31" t="s">
        <v>193</v>
      </c>
      <c r="E394" s="20" t="s">
        <v>275</v>
      </c>
      <c r="F394" s="5"/>
      <c r="G394" s="50" t="s">
        <v>274</v>
      </c>
      <c r="H394" s="36">
        <f>11416.6-312-641.8-1654.7</f>
        <v>8808.1</v>
      </c>
      <c r="I394" s="203"/>
    </row>
    <row r="395" spans="1:9" ht="38.25" thickBot="1">
      <c r="A395" s="76" t="s">
        <v>121</v>
      </c>
      <c r="B395" s="28" t="s">
        <v>88</v>
      </c>
      <c r="C395" s="21"/>
      <c r="D395" s="13"/>
      <c r="E395" s="21"/>
      <c r="F395" s="13"/>
      <c r="G395" s="52"/>
      <c r="H395" s="135">
        <f>H396+H404+H414</f>
        <v>51091</v>
      </c>
      <c r="I395" s="135">
        <f>I396+I404+I414</f>
        <v>7732</v>
      </c>
    </row>
    <row r="396" spans="1:9" s="23" customFormat="1" ht="15.75">
      <c r="A396" s="106" t="s">
        <v>17</v>
      </c>
      <c r="B396" s="97" t="s">
        <v>88</v>
      </c>
      <c r="C396" s="202" t="s">
        <v>186</v>
      </c>
      <c r="D396" s="254" t="s">
        <v>126</v>
      </c>
      <c r="E396" s="202"/>
      <c r="F396" s="32"/>
      <c r="G396" s="252"/>
      <c r="H396" s="40">
        <f>H397</f>
        <v>37069.7</v>
      </c>
      <c r="I396" s="40">
        <f>I397</f>
        <v>0</v>
      </c>
    </row>
    <row r="397" spans="1:9" ht="15.75">
      <c r="A397" s="27" t="s">
        <v>80</v>
      </c>
      <c r="B397" s="42" t="s">
        <v>88</v>
      </c>
      <c r="C397" s="22" t="s">
        <v>186</v>
      </c>
      <c r="D397" s="42" t="s">
        <v>190</v>
      </c>
      <c r="E397" s="22"/>
      <c r="F397" s="29"/>
      <c r="G397" s="89"/>
      <c r="H397" s="37">
        <f>H398+H401</f>
        <v>37069.7</v>
      </c>
      <c r="I397" s="37">
        <f>I398+I401</f>
        <v>0</v>
      </c>
    </row>
    <row r="398" spans="1:9" ht="39">
      <c r="A398" s="64" t="s">
        <v>295</v>
      </c>
      <c r="B398" s="43" t="s">
        <v>88</v>
      </c>
      <c r="C398" s="18" t="s">
        <v>186</v>
      </c>
      <c r="D398" s="43" t="s">
        <v>190</v>
      </c>
      <c r="E398" s="18" t="s">
        <v>273</v>
      </c>
      <c r="F398" s="30"/>
      <c r="G398" s="80"/>
      <c r="H398" s="38">
        <f>H399</f>
        <v>13565.3</v>
      </c>
      <c r="I398" s="38">
        <f>I399</f>
        <v>0</v>
      </c>
    </row>
    <row r="399" spans="1:9" ht="15.75">
      <c r="A399" s="8" t="s">
        <v>50</v>
      </c>
      <c r="B399" s="44" t="s">
        <v>88</v>
      </c>
      <c r="C399" s="20" t="s">
        <v>186</v>
      </c>
      <c r="D399" s="44" t="s">
        <v>190</v>
      </c>
      <c r="E399" s="20" t="s">
        <v>275</v>
      </c>
      <c r="F399" s="31"/>
      <c r="G399" s="235"/>
      <c r="H399" s="36">
        <f>H400</f>
        <v>13565.3</v>
      </c>
      <c r="I399" s="203"/>
    </row>
    <row r="400" spans="1:9" ht="15.75">
      <c r="A400" s="27" t="s">
        <v>146</v>
      </c>
      <c r="B400" s="44" t="s">
        <v>88</v>
      </c>
      <c r="C400" s="20" t="s">
        <v>186</v>
      </c>
      <c r="D400" s="44" t="s">
        <v>190</v>
      </c>
      <c r="E400" s="20" t="s">
        <v>275</v>
      </c>
      <c r="F400" s="31"/>
      <c r="G400" s="235" t="s">
        <v>274</v>
      </c>
      <c r="H400" s="36">
        <f>21789.8-629-1000-1194.8-1045.7-4355</f>
        <v>13565.3</v>
      </c>
      <c r="I400" s="203"/>
    </row>
    <row r="401" spans="1:9" ht="26.25">
      <c r="A401" s="47" t="s">
        <v>204</v>
      </c>
      <c r="B401" s="43" t="s">
        <v>88</v>
      </c>
      <c r="C401" s="18" t="s">
        <v>186</v>
      </c>
      <c r="D401" s="43" t="s">
        <v>190</v>
      </c>
      <c r="E401" s="18" t="s">
        <v>138</v>
      </c>
      <c r="F401" s="30"/>
      <c r="G401" s="80"/>
      <c r="H401" s="38">
        <f>H402</f>
        <v>23504.4</v>
      </c>
      <c r="I401" s="38">
        <f>I402</f>
        <v>0</v>
      </c>
    </row>
    <row r="402" spans="1:9" ht="15.75">
      <c r="A402" s="85" t="s">
        <v>77</v>
      </c>
      <c r="B402" s="43" t="s">
        <v>88</v>
      </c>
      <c r="C402" s="18" t="s">
        <v>186</v>
      </c>
      <c r="D402" s="43" t="s">
        <v>190</v>
      </c>
      <c r="E402" s="18" t="s">
        <v>203</v>
      </c>
      <c r="F402" s="30"/>
      <c r="G402" s="80"/>
      <c r="H402" s="38">
        <f>H403</f>
        <v>23504.4</v>
      </c>
      <c r="I402" s="38">
        <f>I403</f>
        <v>0</v>
      </c>
    </row>
    <row r="403" spans="1:9" ht="15.75">
      <c r="A403" s="8" t="s">
        <v>146</v>
      </c>
      <c r="B403" s="44" t="s">
        <v>88</v>
      </c>
      <c r="C403" s="20" t="s">
        <v>186</v>
      </c>
      <c r="D403" s="44" t="s">
        <v>190</v>
      </c>
      <c r="E403" s="20" t="s">
        <v>203</v>
      </c>
      <c r="F403" s="31" t="s">
        <v>49</v>
      </c>
      <c r="G403" s="80" t="s">
        <v>274</v>
      </c>
      <c r="H403" s="38">
        <f>2000+25925-484+1463.4-2000-1354.8-1895.2-150</f>
        <v>23504.4</v>
      </c>
      <c r="I403" s="204"/>
    </row>
    <row r="404" spans="1:9" ht="15.75">
      <c r="A404" s="112" t="s">
        <v>23</v>
      </c>
      <c r="B404" s="98" t="s">
        <v>88</v>
      </c>
      <c r="C404" s="95" t="s">
        <v>200</v>
      </c>
      <c r="D404" s="98" t="s">
        <v>126</v>
      </c>
      <c r="E404" s="95"/>
      <c r="F404" s="107"/>
      <c r="G404" s="117"/>
      <c r="H404" s="79">
        <f>H405+H409</f>
        <v>1385.2999999999997</v>
      </c>
      <c r="I404" s="79">
        <f>I405</f>
        <v>0</v>
      </c>
    </row>
    <row r="405" spans="1:9" ht="15.75">
      <c r="A405" s="27" t="s">
        <v>70</v>
      </c>
      <c r="B405" s="42" t="s">
        <v>88</v>
      </c>
      <c r="C405" s="22" t="s">
        <v>200</v>
      </c>
      <c r="D405" s="42" t="s">
        <v>186</v>
      </c>
      <c r="E405" s="22"/>
      <c r="F405" s="29"/>
      <c r="G405" s="89"/>
      <c r="H405" s="37">
        <f>H406</f>
        <v>1185.2999999999997</v>
      </c>
      <c r="I405" s="37">
        <f>I406</f>
        <v>0</v>
      </c>
    </row>
    <row r="406" spans="1:9" ht="15.75">
      <c r="A406" s="25" t="s">
        <v>24</v>
      </c>
      <c r="B406" s="43" t="s">
        <v>88</v>
      </c>
      <c r="C406" s="18" t="s">
        <v>200</v>
      </c>
      <c r="D406" s="43" t="s">
        <v>186</v>
      </c>
      <c r="E406" s="18" t="s">
        <v>25</v>
      </c>
      <c r="F406" s="30"/>
      <c r="G406" s="80"/>
      <c r="H406" s="38">
        <f>H407</f>
        <v>1185.2999999999997</v>
      </c>
      <c r="I406" s="38"/>
    </row>
    <row r="407" spans="1:9" ht="15.75">
      <c r="A407" s="47" t="s">
        <v>201</v>
      </c>
      <c r="B407" s="43" t="s">
        <v>88</v>
      </c>
      <c r="C407" s="18" t="s">
        <v>200</v>
      </c>
      <c r="D407" s="43" t="s">
        <v>186</v>
      </c>
      <c r="E407" s="18" t="s">
        <v>202</v>
      </c>
      <c r="F407" s="30"/>
      <c r="G407" s="80"/>
      <c r="H407" s="38">
        <f>H408</f>
        <v>1185.2999999999997</v>
      </c>
      <c r="I407" s="38"/>
    </row>
    <row r="408" spans="1:9" ht="19.5" customHeight="1">
      <c r="A408" s="66" t="s">
        <v>146</v>
      </c>
      <c r="B408" s="43" t="s">
        <v>88</v>
      </c>
      <c r="C408" s="18" t="s">
        <v>200</v>
      </c>
      <c r="D408" s="43" t="s">
        <v>186</v>
      </c>
      <c r="E408" s="18" t="s">
        <v>202</v>
      </c>
      <c r="F408" s="30"/>
      <c r="G408" s="80" t="s">
        <v>274</v>
      </c>
      <c r="H408" s="38">
        <f>1842.1-662+800+108.2-1000+97</f>
        <v>1185.2999999999997</v>
      </c>
      <c r="I408" s="38"/>
    </row>
    <row r="409" spans="1:9" ht="15.75">
      <c r="A409" s="106" t="s">
        <v>3</v>
      </c>
      <c r="B409" s="98" t="s">
        <v>88</v>
      </c>
      <c r="C409" s="95" t="s">
        <v>200</v>
      </c>
      <c r="D409" s="107" t="s">
        <v>187</v>
      </c>
      <c r="E409" s="18"/>
      <c r="F409" s="30"/>
      <c r="G409" s="80"/>
      <c r="H409" s="38">
        <f>H410</f>
        <v>200</v>
      </c>
      <c r="I409" s="38"/>
    </row>
    <row r="410" spans="1:9" ht="15.75">
      <c r="A410" s="25" t="s">
        <v>54</v>
      </c>
      <c r="B410" s="43" t="s">
        <v>88</v>
      </c>
      <c r="C410" s="18" t="s">
        <v>200</v>
      </c>
      <c r="D410" s="30" t="s">
        <v>187</v>
      </c>
      <c r="E410" s="18" t="s">
        <v>75</v>
      </c>
      <c r="F410" s="30"/>
      <c r="G410" s="80"/>
      <c r="H410" s="38">
        <f>H411</f>
        <v>200</v>
      </c>
      <c r="I410" s="38"/>
    </row>
    <row r="411" spans="1:9" ht="15.75">
      <c r="A411" s="25" t="s">
        <v>285</v>
      </c>
      <c r="B411" s="43" t="s">
        <v>88</v>
      </c>
      <c r="C411" s="18" t="s">
        <v>200</v>
      </c>
      <c r="D411" s="30" t="s">
        <v>187</v>
      </c>
      <c r="E411" s="18" t="s">
        <v>286</v>
      </c>
      <c r="F411" s="30"/>
      <c r="G411" s="80"/>
      <c r="H411" s="38">
        <f>H412</f>
        <v>200</v>
      </c>
      <c r="I411" s="38"/>
    </row>
    <row r="412" spans="1:9" ht="15.75">
      <c r="A412" s="25" t="s">
        <v>351</v>
      </c>
      <c r="B412" s="43" t="s">
        <v>88</v>
      </c>
      <c r="C412" s="18" t="s">
        <v>200</v>
      </c>
      <c r="D412" s="30" t="s">
        <v>187</v>
      </c>
      <c r="E412" s="18" t="s">
        <v>352</v>
      </c>
      <c r="F412" s="30"/>
      <c r="G412" s="80"/>
      <c r="H412" s="38">
        <f>H413</f>
        <v>200</v>
      </c>
      <c r="I412" s="38"/>
    </row>
    <row r="413" spans="1:9" ht="15.75">
      <c r="A413" s="8" t="s">
        <v>146</v>
      </c>
      <c r="B413" s="43" t="s">
        <v>88</v>
      </c>
      <c r="C413" s="18" t="s">
        <v>200</v>
      </c>
      <c r="D413" s="30" t="s">
        <v>187</v>
      </c>
      <c r="E413" s="18" t="s">
        <v>352</v>
      </c>
      <c r="F413" s="30"/>
      <c r="G413" s="80" t="s">
        <v>274</v>
      </c>
      <c r="H413" s="38">
        <v>200</v>
      </c>
      <c r="I413" s="38"/>
    </row>
    <row r="414" spans="1:9" ht="15.75">
      <c r="A414" s="8" t="s">
        <v>5</v>
      </c>
      <c r="B414" s="43" t="s">
        <v>88</v>
      </c>
      <c r="C414" s="18" t="s">
        <v>193</v>
      </c>
      <c r="D414" s="43" t="s">
        <v>126</v>
      </c>
      <c r="E414" s="18"/>
      <c r="F414" s="30"/>
      <c r="G414" s="80"/>
      <c r="H414" s="38">
        <f>H415</f>
        <v>12636</v>
      </c>
      <c r="I414" s="38">
        <f>I415</f>
        <v>7732</v>
      </c>
    </row>
    <row r="415" spans="1:9" ht="15.75">
      <c r="A415" s="8" t="s">
        <v>96</v>
      </c>
      <c r="B415" s="43" t="s">
        <v>88</v>
      </c>
      <c r="C415" s="18" t="s">
        <v>193</v>
      </c>
      <c r="D415" s="43" t="s">
        <v>191</v>
      </c>
      <c r="E415" s="18"/>
      <c r="F415" s="30"/>
      <c r="G415" s="80"/>
      <c r="H415" s="38">
        <f>H416</f>
        <v>12636</v>
      </c>
      <c r="I415" s="38">
        <f>I416</f>
        <v>7732</v>
      </c>
    </row>
    <row r="416" spans="1:9" ht="15.75">
      <c r="A416" s="204" t="s">
        <v>236</v>
      </c>
      <c r="B416" s="43" t="s">
        <v>88</v>
      </c>
      <c r="C416" s="18" t="s">
        <v>193</v>
      </c>
      <c r="D416" s="43" t="s">
        <v>191</v>
      </c>
      <c r="E416" s="18" t="s">
        <v>90</v>
      </c>
      <c r="F416" s="30"/>
      <c r="G416" s="80"/>
      <c r="H416" s="38">
        <f>H417+H419+H421</f>
        <v>12636</v>
      </c>
      <c r="I416" s="38">
        <f>I417+I419+I421</f>
        <v>7732</v>
      </c>
    </row>
    <row r="417" spans="1:9" ht="51.75">
      <c r="A417" s="101" t="s">
        <v>393</v>
      </c>
      <c r="B417" s="43" t="s">
        <v>88</v>
      </c>
      <c r="C417" s="18" t="s">
        <v>193</v>
      </c>
      <c r="D417" s="43" t="s">
        <v>191</v>
      </c>
      <c r="E417" s="18" t="s">
        <v>394</v>
      </c>
      <c r="F417" s="30"/>
      <c r="G417" s="80"/>
      <c r="H417" s="38">
        <f>H418</f>
        <v>4904</v>
      </c>
      <c r="I417" s="38"/>
    </row>
    <row r="418" spans="1:9" ht="15.75">
      <c r="A418" s="8" t="s">
        <v>258</v>
      </c>
      <c r="B418" s="43" t="s">
        <v>88</v>
      </c>
      <c r="C418" s="18" t="s">
        <v>193</v>
      </c>
      <c r="D418" s="43" t="s">
        <v>191</v>
      </c>
      <c r="E418" s="18" t="s">
        <v>394</v>
      </c>
      <c r="F418" s="30" t="s">
        <v>51</v>
      </c>
      <c r="G418" s="80" t="s">
        <v>51</v>
      </c>
      <c r="H418" s="38">
        <f>4904</f>
        <v>4904</v>
      </c>
      <c r="I418" s="38"/>
    </row>
    <row r="419" spans="1:9" ht="39">
      <c r="A419" s="101" t="s">
        <v>438</v>
      </c>
      <c r="B419" s="43" t="s">
        <v>88</v>
      </c>
      <c r="C419" s="18" t="s">
        <v>193</v>
      </c>
      <c r="D419" s="43" t="s">
        <v>191</v>
      </c>
      <c r="E419" s="18" t="s">
        <v>439</v>
      </c>
      <c r="F419" s="30"/>
      <c r="G419" s="80"/>
      <c r="H419" s="38">
        <f>H420</f>
        <v>6185</v>
      </c>
      <c r="I419" s="38">
        <f>I420</f>
        <v>6185</v>
      </c>
    </row>
    <row r="420" spans="1:9" ht="15.75">
      <c r="A420" s="8" t="s">
        <v>258</v>
      </c>
      <c r="B420" s="43" t="s">
        <v>88</v>
      </c>
      <c r="C420" s="18" t="s">
        <v>193</v>
      </c>
      <c r="D420" s="43" t="s">
        <v>191</v>
      </c>
      <c r="E420" s="18" t="s">
        <v>439</v>
      </c>
      <c r="F420" s="30"/>
      <c r="G420" s="80" t="s">
        <v>51</v>
      </c>
      <c r="H420" s="38">
        <f>21647-15462</f>
        <v>6185</v>
      </c>
      <c r="I420" s="38">
        <f>21647-15462</f>
        <v>6185</v>
      </c>
    </row>
    <row r="421" spans="1:9" ht="39.75" thickBot="1">
      <c r="A421" s="101" t="s">
        <v>442</v>
      </c>
      <c r="B421" s="43" t="s">
        <v>88</v>
      </c>
      <c r="C421" s="18" t="s">
        <v>193</v>
      </c>
      <c r="D421" s="43" t="s">
        <v>191</v>
      </c>
      <c r="E421" s="18" t="s">
        <v>441</v>
      </c>
      <c r="F421" s="30"/>
      <c r="G421" s="80" t="s">
        <v>51</v>
      </c>
      <c r="H421" s="38">
        <v>1547</v>
      </c>
      <c r="I421" s="38">
        <v>1547</v>
      </c>
    </row>
    <row r="422" spans="1:9" ht="16.5" thickBot="1">
      <c r="A422" s="134" t="s">
        <v>279</v>
      </c>
      <c r="B422" s="180" t="s">
        <v>280</v>
      </c>
      <c r="C422" s="180"/>
      <c r="D422" s="19"/>
      <c r="E422" s="201"/>
      <c r="F422" s="24"/>
      <c r="G422" s="186"/>
      <c r="H422" s="39">
        <f aca="true" t="shared" si="20" ref="H422:I424">H423</f>
        <v>20294.4</v>
      </c>
      <c r="I422" s="39">
        <f t="shared" si="20"/>
        <v>2925</v>
      </c>
    </row>
    <row r="423" spans="1:9" ht="15.75">
      <c r="A423" s="106" t="s">
        <v>115</v>
      </c>
      <c r="B423" s="97" t="s">
        <v>280</v>
      </c>
      <c r="C423" s="17" t="s">
        <v>191</v>
      </c>
      <c r="D423" s="183"/>
      <c r="E423" s="131"/>
      <c r="F423" s="132"/>
      <c r="G423" s="133"/>
      <c r="H423" s="37">
        <f>H424</f>
        <v>20294.4</v>
      </c>
      <c r="I423" s="37">
        <f>I424</f>
        <v>2925</v>
      </c>
    </row>
    <row r="424" spans="1:9" ht="15.75">
      <c r="A424" s="106" t="s">
        <v>20</v>
      </c>
      <c r="B424" s="97" t="s">
        <v>280</v>
      </c>
      <c r="C424" s="17" t="s">
        <v>191</v>
      </c>
      <c r="D424" s="32" t="s">
        <v>187</v>
      </c>
      <c r="E424" s="17"/>
      <c r="F424" s="32"/>
      <c r="G424" s="119"/>
      <c r="H424" s="38">
        <f t="shared" si="20"/>
        <v>20294.4</v>
      </c>
      <c r="I424" s="38">
        <f t="shared" si="20"/>
        <v>2925</v>
      </c>
    </row>
    <row r="425" spans="1:9" ht="18.75" customHeight="1">
      <c r="A425" s="25" t="s">
        <v>85</v>
      </c>
      <c r="B425" s="42" t="s">
        <v>281</v>
      </c>
      <c r="C425" s="22" t="s">
        <v>191</v>
      </c>
      <c r="D425" s="30" t="s">
        <v>187</v>
      </c>
      <c r="E425" s="18" t="s">
        <v>52</v>
      </c>
      <c r="F425" s="30"/>
      <c r="G425" s="80"/>
      <c r="H425" s="38">
        <f>H426+H428+H430+H435+H438</f>
        <v>20294.4</v>
      </c>
      <c r="I425" s="38">
        <f>I426+I428+I430+I433+I435+I438</f>
        <v>2925</v>
      </c>
    </row>
    <row r="426" spans="1:9" ht="51.75">
      <c r="A426" s="101" t="s">
        <v>153</v>
      </c>
      <c r="B426" s="42" t="s">
        <v>280</v>
      </c>
      <c r="C426" s="22" t="s">
        <v>191</v>
      </c>
      <c r="D426" s="30" t="s">
        <v>187</v>
      </c>
      <c r="E426" s="18" t="s">
        <v>152</v>
      </c>
      <c r="F426" s="30"/>
      <c r="G426" s="54"/>
      <c r="H426" s="38">
        <f>H427</f>
        <v>2776.4</v>
      </c>
      <c r="I426" s="38">
        <f>I427</f>
        <v>2355</v>
      </c>
    </row>
    <row r="427" spans="1:9" s="23" customFormat="1" ht="26.25">
      <c r="A427" s="47" t="s">
        <v>154</v>
      </c>
      <c r="B427" s="42" t="s">
        <v>280</v>
      </c>
      <c r="C427" s="22" t="s">
        <v>191</v>
      </c>
      <c r="D427" s="30" t="s">
        <v>187</v>
      </c>
      <c r="E427" s="18" t="s">
        <v>152</v>
      </c>
      <c r="F427" s="30"/>
      <c r="G427" s="49" t="s">
        <v>129</v>
      </c>
      <c r="H427" s="38">
        <f>2776+421.4-421</f>
        <v>2776.4</v>
      </c>
      <c r="I427" s="38">
        <f>2776-421</f>
        <v>2355</v>
      </c>
    </row>
    <row r="428" spans="1:9" ht="15.75">
      <c r="A428" s="25" t="s">
        <v>155</v>
      </c>
      <c r="B428" s="42" t="s">
        <v>280</v>
      </c>
      <c r="C428" s="22" t="s">
        <v>191</v>
      </c>
      <c r="D428" s="30" t="s">
        <v>187</v>
      </c>
      <c r="E428" s="18" t="s">
        <v>156</v>
      </c>
      <c r="F428" s="7"/>
      <c r="G428" s="54"/>
      <c r="H428" s="38">
        <f>H429</f>
        <v>11317.6</v>
      </c>
      <c r="I428" s="38">
        <f>I429</f>
        <v>0</v>
      </c>
    </row>
    <row r="429" spans="1:9" ht="26.25">
      <c r="A429" s="47" t="s">
        <v>154</v>
      </c>
      <c r="B429" s="42" t="s">
        <v>280</v>
      </c>
      <c r="C429" s="22" t="s">
        <v>191</v>
      </c>
      <c r="D429" s="30" t="s">
        <v>187</v>
      </c>
      <c r="E429" s="18" t="s">
        <v>156</v>
      </c>
      <c r="F429" s="7"/>
      <c r="G429" s="49" t="s">
        <v>129</v>
      </c>
      <c r="H429" s="38">
        <f>11427.6-110</f>
        <v>11317.6</v>
      </c>
      <c r="I429" s="38"/>
    </row>
    <row r="430" spans="1:9" ht="26.25">
      <c r="A430" s="47" t="s">
        <v>158</v>
      </c>
      <c r="B430" s="42" t="s">
        <v>280</v>
      </c>
      <c r="C430" s="22" t="s">
        <v>191</v>
      </c>
      <c r="D430" s="30" t="s">
        <v>187</v>
      </c>
      <c r="E430" s="18" t="s">
        <v>159</v>
      </c>
      <c r="F430" s="7"/>
      <c r="G430" s="54"/>
      <c r="H430" s="38">
        <f>H431+H433</f>
        <v>5298.9</v>
      </c>
      <c r="I430" s="38">
        <f>I432</f>
        <v>0</v>
      </c>
    </row>
    <row r="431" spans="1:9" ht="15.75">
      <c r="A431" s="47" t="s">
        <v>160</v>
      </c>
      <c r="B431" s="42" t="s">
        <v>280</v>
      </c>
      <c r="C431" s="22" t="s">
        <v>191</v>
      </c>
      <c r="D431" s="30" t="s">
        <v>187</v>
      </c>
      <c r="E431" s="18" t="s">
        <v>161</v>
      </c>
      <c r="F431" s="7"/>
      <c r="G431" s="54"/>
      <c r="H431" s="38">
        <f>H432</f>
        <v>1090.5</v>
      </c>
      <c r="I431" s="38"/>
    </row>
    <row r="432" spans="1:9" ht="26.25">
      <c r="A432" s="47" t="s">
        <v>154</v>
      </c>
      <c r="B432" s="42" t="s">
        <v>280</v>
      </c>
      <c r="C432" s="22" t="s">
        <v>191</v>
      </c>
      <c r="D432" s="30" t="s">
        <v>187</v>
      </c>
      <c r="E432" s="18" t="s">
        <v>161</v>
      </c>
      <c r="F432" s="7"/>
      <c r="G432" s="49" t="s">
        <v>129</v>
      </c>
      <c r="H432" s="38">
        <f>628+462.5</f>
        <v>1090.5</v>
      </c>
      <c r="I432" s="38"/>
    </row>
    <row r="433" spans="1:9" ht="26.25">
      <c r="A433" s="47" t="s">
        <v>163</v>
      </c>
      <c r="B433" s="42" t="s">
        <v>280</v>
      </c>
      <c r="C433" s="18" t="s">
        <v>191</v>
      </c>
      <c r="D433" s="30" t="s">
        <v>187</v>
      </c>
      <c r="E433" s="18" t="s">
        <v>162</v>
      </c>
      <c r="F433" s="7"/>
      <c r="G433" s="54"/>
      <c r="H433" s="38">
        <f>H434</f>
        <v>4208.4</v>
      </c>
      <c r="I433" s="38">
        <f>I434</f>
        <v>570</v>
      </c>
    </row>
    <row r="434" spans="1:9" ht="26.25">
      <c r="A434" s="47" t="s">
        <v>154</v>
      </c>
      <c r="B434" s="42" t="s">
        <v>280</v>
      </c>
      <c r="C434" s="18" t="s">
        <v>191</v>
      </c>
      <c r="D434" s="30" t="s">
        <v>187</v>
      </c>
      <c r="E434" s="18" t="s">
        <v>162</v>
      </c>
      <c r="F434" s="7"/>
      <c r="G434" s="49" t="s">
        <v>129</v>
      </c>
      <c r="H434" s="38">
        <f>5107.4-899.1+0.1</f>
        <v>4208.4</v>
      </c>
      <c r="I434" s="38">
        <v>570</v>
      </c>
    </row>
    <row r="435" spans="1:9" ht="15.75">
      <c r="A435" s="25" t="s">
        <v>53</v>
      </c>
      <c r="B435" s="42" t="s">
        <v>280</v>
      </c>
      <c r="C435" s="18" t="s">
        <v>191</v>
      </c>
      <c r="D435" s="30" t="s">
        <v>187</v>
      </c>
      <c r="E435" s="18" t="s">
        <v>164</v>
      </c>
      <c r="F435" s="7"/>
      <c r="G435" s="54"/>
      <c r="H435" s="38">
        <f>H436</f>
        <v>196.5</v>
      </c>
      <c r="I435" s="38">
        <f>I436</f>
        <v>0</v>
      </c>
    </row>
    <row r="436" spans="1:9" ht="15.75">
      <c r="A436" s="25" t="s">
        <v>165</v>
      </c>
      <c r="B436" s="42" t="s">
        <v>280</v>
      </c>
      <c r="C436" s="18" t="s">
        <v>191</v>
      </c>
      <c r="D436" s="30" t="s">
        <v>187</v>
      </c>
      <c r="E436" s="18" t="s">
        <v>166</v>
      </c>
      <c r="F436" s="7"/>
      <c r="G436" s="54"/>
      <c r="H436" s="38">
        <f>H437</f>
        <v>196.5</v>
      </c>
      <c r="I436" s="38">
        <f>I437</f>
        <v>0</v>
      </c>
    </row>
    <row r="437" spans="1:9" ht="26.25">
      <c r="A437" s="47" t="s">
        <v>154</v>
      </c>
      <c r="B437" s="42" t="s">
        <v>280</v>
      </c>
      <c r="C437" s="18" t="s">
        <v>191</v>
      </c>
      <c r="D437" s="30" t="s">
        <v>187</v>
      </c>
      <c r="E437" s="18" t="s">
        <v>166</v>
      </c>
      <c r="F437" s="7"/>
      <c r="G437" s="49" t="s">
        <v>129</v>
      </c>
      <c r="H437" s="38">
        <f>250-53.5</f>
        <v>196.5</v>
      </c>
      <c r="I437" s="38"/>
    </row>
    <row r="438" spans="1:9" ht="26.25">
      <c r="A438" s="101" t="s">
        <v>106</v>
      </c>
      <c r="B438" s="43" t="s">
        <v>280</v>
      </c>
      <c r="C438" s="18" t="s">
        <v>191</v>
      </c>
      <c r="D438" s="30" t="s">
        <v>187</v>
      </c>
      <c r="E438" s="18" t="s">
        <v>167</v>
      </c>
      <c r="F438" s="7"/>
      <c r="G438" s="54"/>
      <c r="H438" s="38">
        <f>H439</f>
        <v>705</v>
      </c>
      <c r="I438" s="38">
        <f>I439</f>
        <v>0</v>
      </c>
    </row>
    <row r="439" spans="1:9" ht="16.5" thickBot="1">
      <c r="A439" s="213" t="s">
        <v>168</v>
      </c>
      <c r="B439" s="44" t="s">
        <v>280</v>
      </c>
      <c r="C439" s="20" t="s">
        <v>191</v>
      </c>
      <c r="D439" s="31" t="s">
        <v>187</v>
      </c>
      <c r="E439" s="20" t="s">
        <v>167</v>
      </c>
      <c r="F439" s="5"/>
      <c r="G439" s="50" t="s">
        <v>129</v>
      </c>
      <c r="H439" s="36">
        <f>105+600</f>
        <v>705</v>
      </c>
      <c r="I439" s="36"/>
    </row>
    <row r="440" spans="1:9" s="23" customFormat="1" ht="32.25" thickBot="1">
      <c r="A440" s="218" t="s">
        <v>362</v>
      </c>
      <c r="B440" s="21" t="s">
        <v>363</v>
      </c>
      <c r="C440" s="21"/>
      <c r="D440" s="13"/>
      <c r="E440" s="21"/>
      <c r="F440" s="216"/>
      <c r="G440" s="52"/>
      <c r="H440" s="217">
        <f aca="true" t="shared" si="21" ref="H440:I442">H441</f>
        <v>1103.4</v>
      </c>
      <c r="I440" s="217">
        <f t="shared" si="21"/>
        <v>0</v>
      </c>
    </row>
    <row r="441" spans="1:9" s="23" customFormat="1" ht="15.75">
      <c r="A441" s="219" t="s">
        <v>17</v>
      </c>
      <c r="B441" s="17" t="s">
        <v>363</v>
      </c>
      <c r="C441" s="17" t="s">
        <v>186</v>
      </c>
      <c r="D441" s="32" t="s">
        <v>126</v>
      </c>
      <c r="E441" s="17"/>
      <c r="F441" s="91"/>
      <c r="G441" s="86"/>
      <c r="H441" s="83">
        <f t="shared" si="21"/>
        <v>1103.4</v>
      </c>
      <c r="I441" s="83">
        <f t="shared" si="21"/>
        <v>0</v>
      </c>
    </row>
    <row r="442" spans="1:9" s="48" customFormat="1" ht="15.75">
      <c r="A442" s="27" t="s">
        <v>302</v>
      </c>
      <c r="B442" s="18" t="s">
        <v>363</v>
      </c>
      <c r="C442" s="18" t="s">
        <v>186</v>
      </c>
      <c r="D442" s="30" t="s">
        <v>194</v>
      </c>
      <c r="E442" s="18"/>
      <c r="F442" s="30"/>
      <c r="G442" s="105"/>
      <c r="H442" s="38">
        <f t="shared" si="21"/>
        <v>1103.4</v>
      </c>
      <c r="I442" s="38">
        <f t="shared" si="21"/>
        <v>0</v>
      </c>
    </row>
    <row r="443" spans="1:9" ht="15.75">
      <c r="A443" s="66" t="s">
        <v>303</v>
      </c>
      <c r="B443" s="69" t="s">
        <v>363</v>
      </c>
      <c r="C443" s="69" t="s">
        <v>186</v>
      </c>
      <c r="D443" s="70" t="s">
        <v>194</v>
      </c>
      <c r="E443" s="69" t="s">
        <v>304</v>
      </c>
      <c r="F443" s="70"/>
      <c r="G443" s="137"/>
      <c r="H443" s="38">
        <f>H444+H446</f>
        <v>1103.4</v>
      </c>
      <c r="I443" s="38">
        <f>I444+I446</f>
        <v>0</v>
      </c>
    </row>
    <row r="444" spans="1:9" ht="26.25">
      <c r="A444" s="65" t="s">
        <v>305</v>
      </c>
      <c r="B444" s="69" t="s">
        <v>363</v>
      </c>
      <c r="C444" s="69" t="s">
        <v>186</v>
      </c>
      <c r="D444" s="70" t="s">
        <v>194</v>
      </c>
      <c r="E444" s="69" t="s">
        <v>306</v>
      </c>
      <c r="F444" s="70"/>
      <c r="G444" s="137"/>
      <c r="H444" s="38">
        <f>H445</f>
        <v>346.5</v>
      </c>
      <c r="I444" s="38">
        <f>I445</f>
        <v>0</v>
      </c>
    </row>
    <row r="445" spans="1:9" ht="15.75">
      <c r="A445" s="66" t="s">
        <v>146</v>
      </c>
      <c r="B445" s="69" t="s">
        <v>363</v>
      </c>
      <c r="C445" s="69" t="s">
        <v>186</v>
      </c>
      <c r="D445" s="70" t="s">
        <v>194</v>
      </c>
      <c r="E445" s="69" t="s">
        <v>306</v>
      </c>
      <c r="F445" s="70"/>
      <c r="G445" s="137" t="s">
        <v>274</v>
      </c>
      <c r="H445" s="38">
        <f>2203.5-1400-457</f>
        <v>346.5</v>
      </c>
      <c r="I445" s="38"/>
    </row>
    <row r="446" spans="1:9" ht="15.75">
      <c r="A446" s="65" t="s">
        <v>307</v>
      </c>
      <c r="B446" s="69" t="s">
        <v>363</v>
      </c>
      <c r="C446" s="69" t="s">
        <v>186</v>
      </c>
      <c r="D446" s="70" t="s">
        <v>194</v>
      </c>
      <c r="E446" s="69" t="s">
        <v>308</v>
      </c>
      <c r="F446" s="70"/>
      <c r="G446" s="137"/>
      <c r="H446" s="38">
        <f>H447</f>
        <v>756.9</v>
      </c>
      <c r="I446" s="38">
        <f>I447</f>
        <v>0</v>
      </c>
    </row>
    <row r="447" spans="1:9" ht="16.5" thickBot="1">
      <c r="A447" s="238" t="s">
        <v>146</v>
      </c>
      <c r="B447" s="237" t="s">
        <v>363</v>
      </c>
      <c r="C447" s="237" t="s">
        <v>186</v>
      </c>
      <c r="D447" s="214" t="s">
        <v>194</v>
      </c>
      <c r="E447" s="237" t="s">
        <v>308</v>
      </c>
      <c r="F447" s="214"/>
      <c r="G447" s="215" t="s">
        <v>274</v>
      </c>
      <c r="H447" s="36">
        <f>2203.5-1400-46.6</f>
        <v>756.9</v>
      </c>
      <c r="I447" s="36"/>
    </row>
    <row r="448" spans="1:9" ht="16.5" thickBot="1">
      <c r="A448" s="239" t="s">
        <v>420</v>
      </c>
      <c r="B448" s="198" t="s">
        <v>371</v>
      </c>
      <c r="C448" s="197"/>
      <c r="D448" s="198"/>
      <c r="E448" s="197"/>
      <c r="F448" s="198"/>
      <c r="G448" s="325"/>
      <c r="H448" s="240">
        <f aca="true" t="shared" si="22" ref="H448:I450">H449</f>
        <v>3000</v>
      </c>
      <c r="I448" s="240">
        <f t="shared" si="22"/>
        <v>0</v>
      </c>
    </row>
    <row r="449" spans="1:9" ht="15.75">
      <c r="A449" s="219" t="s">
        <v>17</v>
      </c>
      <c r="B449" s="254" t="s">
        <v>371</v>
      </c>
      <c r="C449" s="202" t="s">
        <v>186</v>
      </c>
      <c r="D449" s="330" t="s">
        <v>126</v>
      </c>
      <c r="E449" s="202"/>
      <c r="F449" s="32"/>
      <c r="G449" s="326"/>
      <c r="H449" s="40">
        <f t="shared" si="22"/>
        <v>3000</v>
      </c>
      <c r="I449" s="40">
        <f t="shared" si="22"/>
        <v>0</v>
      </c>
    </row>
    <row r="450" spans="1:9" ht="39">
      <c r="A450" s="175" t="s">
        <v>299</v>
      </c>
      <c r="B450" s="98" t="s">
        <v>371</v>
      </c>
      <c r="C450" s="95" t="s">
        <v>186</v>
      </c>
      <c r="D450" s="107" t="s">
        <v>191</v>
      </c>
      <c r="E450" s="95"/>
      <c r="F450" s="107"/>
      <c r="G450" s="327"/>
      <c r="H450" s="38">
        <f t="shared" si="22"/>
        <v>3000</v>
      </c>
      <c r="I450" s="38">
        <f t="shared" si="22"/>
        <v>0</v>
      </c>
    </row>
    <row r="451" spans="1:9" ht="39">
      <c r="A451" s="241" t="s">
        <v>295</v>
      </c>
      <c r="B451" s="68" t="s">
        <v>371</v>
      </c>
      <c r="C451" s="69" t="s">
        <v>186</v>
      </c>
      <c r="D451" s="70" t="s">
        <v>191</v>
      </c>
      <c r="E451" s="69" t="s">
        <v>273</v>
      </c>
      <c r="F451" s="70"/>
      <c r="G451" s="328"/>
      <c r="H451" s="38">
        <f>H454+H452</f>
        <v>3000</v>
      </c>
      <c r="I451" s="38">
        <f>I454</f>
        <v>0</v>
      </c>
    </row>
    <row r="452" spans="1:9" ht="15.75">
      <c r="A452" s="8" t="s">
        <v>50</v>
      </c>
      <c r="B452" s="68" t="s">
        <v>371</v>
      </c>
      <c r="C452" s="69" t="s">
        <v>186</v>
      </c>
      <c r="D452" s="70" t="s">
        <v>191</v>
      </c>
      <c r="E452" s="69" t="s">
        <v>275</v>
      </c>
      <c r="F452" s="70"/>
      <c r="G452" s="328"/>
      <c r="H452" s="38">
        <f>H453</f>
        <v>2144</v>
      </c>
      <c r="I452" s="38"/>
    </row>
    <row r="453" spans="1:9" ht="15.75">
      <c r="A453" s="27" t="s">
        <v>146</v>
      </c>
      <c r="B453" s="68" t="s">
        <v>371</v>
      </c>
      <c r="C453" s="69" t="s">
        <v>186</v>
      </c>
      <c r="D453" s="70" t="s">
        <v>191</v>
      </c>
      <c r="E453" s="69" t="s">
        <v>275</v>
      </c>
      <c r="F453" s="70"/>
      <c r="G453" s="328" t="s">
        <v>274</v>
      </c>
      <c r="H453" s="38">
        <v>2144</v>
      </c>
      <c r="I453" s="38"/>
    </row>
    <row r="454" spans="1:9" ht="15.75">
      <c r="A454" s="242" t="s">
        <v>300</v>
      </c>
      <c r="B454" s="68" t="s">
        <v>371</v>
      </c>
      <c r="C454" s="69" t="s">
        <v>186</v>
      </c>
      <c r="D454" s="70" t="s">
        <v>191</v>
      </c>
      <c r="E454" s="69" t="s">
        <v>301</v>
      </c>
      <c r="F454" s="70"/>
      <c r="G454" s="328"/>
      <c r="H454" s="38">
        <f>H455</f>
        <v>856</v>
      </c>
      <c r="I454" s="38">
        <f>I455</f>
        <v>0</v>
      </c>
    </row>
    <row r="455" spans="1:9" ht="16.5" thickBot="1">
      <c r="A455" s="242" t="s">
        <v>146</v>
      </c>
      <c r="B455" s="68" t="s">
        <v>371</v>
      </c>
      <c r="C455" s="69" t="s">
        <v>186</v>
      </c>
      <c r="D455" s="70" t="s">
        <v>191</v>
      </c>
      <c r="E455" s="69" t="s">
        <v>301</v>
      </c>
      <c r="F455" s="70"/>
      <c r="G455" s="328" t="s">
        <v>274</v>
      </c>
      <c r="H455" s="38">
        <f>1756-900</f>
        <v>856</v>
      </c>
      <c r="I455" s="38"/>
    </row>
    <row r="456" spans="1:9" s="48" customFormat="1" ht="16.5" thickBot="1">
      <c r="A456" s="336" t="s">
        <v>421</v>
      </c>
      <c r="B456" s="337" t="s">
        <v>422</v>
      </c>
      <c r="C456" s="197"/>
      <c r="D456" s="198"/>
      <c r="E456" s="197"/>
      <c r="F456" s="198"/>
      <c r="G456" s="325"/>
      <c r="H456" s="240">
        <f aca="true" t="shared" si="23" ref="H456:I459">H457</f>
        <v>5821.6</v>
      </c>
      <c r="I456" s="240">
        <f t="shared" si="23"/>
        <v>5018</v>
      </c>
    </row>
    <row r="457" spans="1:9" ht="15.75">
      <c r="A457" s="249" t="s">
        <v>17</v>
      </c>
      <c r="B457" s="324" t="s">
        <v>422</v>
      </c>
      <c r="C457" s="72" t="s">
        <v>186</v>
      </c>
      <c r="D457" s="63" t="s">
        <v>126</v>
      </c>
      <c r="E457" s="72"/>
      <c r="F457" s="63"/>
      <c r="G457" s="329"/>
      <c r="H457" s="37">
        <f t="shared" si="23"/>
        <v>5821.6</v>
      </c>
      <c r="I457" s="37">
        <f t="shared" si="23"/>
        <v>5018</v>
      </c>
    </row>
    <row r="458" spans="1:9" ht="15.75">
      <c r="A458" s="248" t="s">
        <v>413</v>
      </c>
      <c r="B458" s="243" t="s">
        <v>422</v>
      </c>
      <c r="C458" s="69" t="s">
        <v>186</v>
      </c>
      <c r="D458" s="70" t="s">
        <v>205</v>
      </c>
      <c r="E458" s="69"/>
      <c r="F458" s="70"/>
      <c r="G458" s="328"/>
      <c r="H458" s="38">
        <f t="shared" si="23"/>
        <v>5821.6</v>
      </c>
      <c r="I458" s="38">
        <f t="shared" si="23"/>
        <v>5018</v>
      </c>
    </row>
    <row r="459" spans="1:9" ht="15.75">
      <c r="A459" s="8" t="s">
        <v>50</v>
      </c>
      <c r="B459" s="243" t="s">
        <v>86</v>
      </c>
      <c r="C459" s="69" t="s">
        <v>186</v>
      </c>
      <c r="D459" s="70" t="s">
        <v>205</v>
      </c>
      <c r="E459" s="69" t="s">
        <v>275</v>
      </c>
      <c r="F459" s="70"/>
      <c r="G459" s="328"/>
      <c r="H459" s="38">
        <f t="shared" si="23"/>
        <v>5821.6</v>
      </c>
      <c r="I459" s="38">
        <f t="shared" si="23"/>
        <v>5018</v>
      </c>
    </row>
    <row r="460" spans="1:9" ht="16.5" thickBot="1">
      <c r="A460" s="331" t="s">
        <v>146</v>
      </c>
      <c r="B460" s="332" t="s">
        <v>86</v>
      </c>
      <c r="C460" s="237" t="s">
        <v>186</v>
      </c>
      <c r="D460" s="214" t="s">
        <v>205</v>
      </c>
      <c r="E460" s="237" t="s">
        <v>275</v>
      </c>
      <c r="F460" s="214" t="s">
        <v>274</v>
      </c>
      <c r="G460" s="333" t="s">
        <v>274</v>
      </c>
      <c r="H460" s="36">
        <f>5018+503.6+150+150</f>
        <v>5821.6</v>
      </c>
      <c r="I460" s="36">
        <v>5018</v>
      </c>
    </row>
    <row r="461" spans="1:9" ht="16.5" thickBot="1">
      <c r="A461" s="334" t="s">
        <v>73</v>
      </c>
      <c r="B461" s="180" t="s">
        <v>49</v>
      </c>
      <c r="C461" s="19" t="s">
        <v>48</v>
      </c>
      <c r="D461" s="182" t="s">
        <v>48</v>
      </c>
      <c r="E461" s="19" t="s">
        <v>47</v>
      </c>
      <c r="F461" s="182"/>
      <c r="G461" s="335" t="s">
        <v>49</v>
      </c>
      <c r="H461" s="39">
        <f>H11+H213+H270+H303+H342+H362+H395+H422+H440+H448+H456</f>
        <v>2224844</v>
      </c>
      <c r="I461" s="39">
        <f>I11+I213+I270+I303+I342+I362+I395+I422+I440+I448+I456</f>
        <v>555860.3</v>
      </c>
    </row>
    <row r="466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2009-06-08T06:12:21Z</cp:lastPrinted>
  <dcterms:created xsi:type="dcterms:W3CDTF">2002-11-11T07:39:40Z</dcterms:created>
  <dcterms:modified xsi:type="dcterms:W3CDTF">2009-12-23T10:02:28Z</dcterms:modified>
  <cp:category/>
  <cp:version/>
  <cp:contentType/>
  <cp:contentStatus/>
</cp:coreProperties>
</file>