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<sst xmlns="http://schemas.openxmlformats.org/spreadsheetml/2006/main" count="4289" uniqueCount="442">
  <si>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</si>
  <si>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</si>
  <si>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</si>
  <si>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</si>
  <si>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</si>
  <si>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</si>
  <si>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</si>
  <si>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</si>
  <si>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</si>
  <si>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</si>
  <si>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</si>
  <si>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</si>
  <si>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</si>
  <si>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</si>
  <si>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</si>
  <si>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</si>
  <si>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Периодическая печать и издательства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</si>
  <si>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</si>
  <si>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</si>
  <si>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</si>
  <si>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</si>
  <si>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</si>
  <si>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</si>
  <si>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</si>
  <si>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</si>
  <si>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</si>
  <si>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</si>
  <si>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</si>
  <si>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</si>
  <si>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</si>
  <si>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</si>
  <si>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</si>
  <si>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</si>
  <si>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</si>
  <si>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</si>
  <si>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</si>
  <si>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</si>
  <si>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</si>
  <si>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</si>
  <si>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</si>
  <si>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</si>
  <si>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</si>
  <si>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</si>
  <si>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</si>
  <si>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512 00 00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</si>
  <si>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</si>
  <si>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</si>
  <si>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</si>
  <si>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</si>
  <si>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</si>
  <si>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</si>
  <si>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</si>
  <si>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</si>
  <si>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</si>
  <si>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</si>
  <si>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</si>
  <si>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</si>
  <si>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</si>
  <si>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</si>
  <si>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</si>
  <si>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</si>
  <si>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</si>
  <si>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</si>
  <si>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</si>
  <si>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</si>
  <si>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</si>
  <si>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</si>
  <si>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</si>
  <si>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</si>
  <si>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</si>
  <si>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</si>
  <si>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</si>
  <si>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</si>
  <si>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472 00 00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</si>
  <si>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</si>
  <si>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</si>
  <si>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</si>
  <si>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</si>
  <si>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</si>
  <si>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</si>
  <si>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</si>
  <si>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</si>
  <si>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</si>
  <si>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</si>
  <si>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</si>
  <si>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</si>
  <si>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</si>
  <si>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</si>
  <si>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</si>
  <si>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</si>
  <si>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</si>
  <si>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</si>
  <si>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</si>
  <si>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</si>
  <si>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</si>
  <si>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</si>
  <si>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</si>
  <si>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</si>
  <si>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в области  строительства, архитектуры и градостроительства</t>
  </si>
  <si>
    <t>338 00 00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</si>
  <si>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</si>
  <si>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</si>
  <si>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</si>
  <si>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</si>
  <si>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</si>
  <si>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области строительства, архитектуры и градостроительства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</si>
  <si>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</si>
  <si>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</si>
  <si>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</si>
  <si>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</si>
  <si>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</si>
  <si>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</si>
  <si>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</si>
  <si>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</si>
  <si>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</si>
  <si>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</si>
  <si>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</si>
  <si>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</si>
  <si>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</si>
  <si>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</si>
  <si>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</si>
  <si>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</si>
  <si>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</si>
  <si>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</si>
  <si>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</si>
  <si>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</si>
  <si>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</si>
  <si>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</si>
  <si>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</si>
  <si>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</si>
  <si>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</si>
  <si>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</si>
  <si>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</si>
  <si>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</si>
  <si>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</si>
  <si>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</si>
  <si>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</si>
  <si>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</si>
  <si>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</si>
  <si>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</si>
  <si>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</si>
  <si>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</si>
  <si>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</si>
  <si>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</si>
  <si>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</si>
  <si>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</si>
  <si>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</si>
  <si>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</si>
  <si>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</si>
  <si>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</si>
  <si>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</si>
  <si>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</si>
  <si>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</si>
  <si>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</si>
  <si>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</si>
  <si>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</si>
  <si>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</si>
  <si>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</si>
  <si>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Расходы бюджета города на 2008 г. по разделам, подразделам, целевым статьям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</si>
  <si>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</si>
  <si>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</si>
  <si>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065 03 00</t>
  </si>
  <si>
    <t>Прочие расходы</t>
  </si>
  <si>
    <t>Резервные фонды исполнительных органов местного самоуправления</t>
  </si>
  <si>
    <t>070 05 00</t>
  </si>
  <si>
    <t>Уплата членских взносов членами Совета муниципальных образований Московской области</t>
  </si>
  <si>
    <t>001 64 00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</si>
  <si>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</si>
  <si>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</si>
  <si>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</si>
  <si>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</si>
  <si>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</si>
  <si>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</si>
  <si>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</si>
  <si>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Денежное довольствие и  дополнительные выплаты в соответствии с законодательством Российской Федерации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</si>
  <si>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</si>
  <si>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</si>
  <si>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</si>
  <si>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</si>
  <si>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</si>
  <si>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</si>
  <si>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</si>
  <si>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</si>
  <si>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</si>
  <si>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</si>
  <si>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</si>
  <si>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</si>
  <si>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</si>
  <si>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</si>
  <si>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</si>
  <si>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</si>
  <si>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</si>
  <si>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247 99 00 </t>
  </si>
  <si>
    <t>247 99 00</t>
  </si>
  <si>
    <t>Лесное хозяйство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</si>
  <si>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</si>
  <si>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</si>
  <si>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</si>
  <si>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</si>
  <si>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</si>
  <si>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</si>
  <si>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</si>
  <si>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</si>
  <si>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</si>
  <si>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</si>
  <si>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</si>
  <si>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</si>
  <si>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</si>
  <si>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</si>
  <si>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11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</si>
  <si>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</si>
  <si>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</si>
  <si>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</si>
  <si>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</si>
  <si>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</si>
  <si>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</si>
  <si>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</si>
  <si>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</si>
  <si>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</si>
  <si>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</si>
  <si>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</si>
  <si>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</si>
  <si>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</si>
  <si>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</si>
  <si>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</si>
  <si>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</si>
  <si>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Проведение мероприятий по подготовке к зиме 2007/2008 г.г.</t>
  </si>
  <si>
    <t>351 01 00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</si>
  <si>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</si>
  <si>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</si>
  <si>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</si>
  <si>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</si>
  <si>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</si>
  <si>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</si>
  <si>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</si>
  <si>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</si>
  <si>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</si>
  <si>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Освещение</t>
  </si>
  <si>
    <t>351 02 00</t>
  </si>
  <si>
    <t>351 02 01</t>
  </si>
  <si>
    <t>351 02 02</t>
  </si>
  <si>
    <t>Организация благоустройства</t>
  </si>
  <si>
    <t>351 02 03</t>
  </si>
  <si>
    <t xml:space="preserve">Прочие мероприятия по благоустройству городских округов </t>
  </si>
  <si>
    <t>351 02 04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</si>
  <si>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</si>
  <si>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</si>
  <si>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</si>
  <si>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</si>
  <si>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</si>
  <si>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</si>
  <si>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</si>
  <si>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Городская  целевая программа "Молодое поколение Долгопрудного на 2007-2009 годы"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</si>
  <si>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</si>
  <si>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</si>
  <si>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</si>
  <si>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</si>
  <si>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</si>
  <si>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</si>
  <si>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</si>
  <si>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</si>
  <si>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</si>
  <si>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</si>
  <si>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</si>
  <si>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472 99 00</t>
  </si>
  <si>
    <t>Физическая культура и спорт</t>
  </si>
  <si>
    <t>482 99 00</t>
  </si>
  <si>
    <t>Мероприятия в области спорта и физической культуры</t>
  </si>
  <si>
    <t>512 10 00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</si>
  <si>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</si>
  <si>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</si>
  <si>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</si>
  <si>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</si>
  <si>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</si>
  <si>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</si>
  <si>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</si>
  <si>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</si>
  <si>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</si>
  <si>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</si>
  <si>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</si>
  <si>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</si>
  <si>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</si>
  <si>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</si>
  <si>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</si>
  <si>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</si>
  <si>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Муниципальная целевая программа "Обеспечение жильем  молодых семей в г. Долгопрудный на 2008 год"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</si>
  <si>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</si>
  <si>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</si>
  <si>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</si>
  <si>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</si>
  <si>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</si>
  <si>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</si>
  <si>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</si>
  <si>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</si>
  <si>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</si>
  <si>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</si>
  <si>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Мероприятия в области  спорта и физической культуры</t>
  </si>
  <si>
    <t>Муниципальная   программа "Развитие физической культуры и спорта в г. Долгопрудном   на  2007-2008 годы"</t>
  </si>
  <si>
    <t>795 06 00</t>
  </si>
  <si>
    <t>Выполнение функций  органами местного самоуправления</t>
  </si>
  <si>
    <t>Обеспечение  пожарной безопасности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</si>
  <si>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</si>
  <si>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</si>
  <si>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</si>
  <si>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292 01 00</t>
  </si>
  <si>
    <t>Социальные ваыплаты</t>
  </si>
  <si>
    <t xml:space="preserve"> и видам расходов  классификации расходов бюджетов </t>
  </si>
  <si>
    <t>Ведомственная структура расходов  бюджета города Долгопрудного  на   2008 год</t>
  </si>
  <si>
    <t>Муниципальная целевая Программа  экологических и природоохранных мероприятий города Долгопрудный на 2007-2008 годы</t>
  </si>
  <si>
    <t>795 07 00</t>
  </si>
  <si>
    <t>Муниципальная целевая Программа  " Профилактика правонарушений в муниципальном образовании " Город Долгопрудный Московской области" на 2007-2008 годы"</t>
  </si>
  <si>
    <t>795 08 00</t>
  </si>
  <si>
    <t>Программа  " Модернизация объектов коммунальной инфраструктуры на 2007-2010 годы в городе Долгопрудном"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</si>
  <si>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</si>
  <si>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</si>
  <si>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</si>
  <si>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Муниципальная   программа "Развитие физической культуры и спорта в г. Долгопрудном на  2007-2008 годы"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</si>
  <si>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</si>
  <si>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</si>
  <si>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</si>
  <si>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</si>
  <si>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</si>
  <si>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</si>
  <si>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</si>
  <si>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</si>
  <si>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</si>
  <si>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</si>
  <si>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</si>
  <si>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002 01 00</t>
  </si>
  <si>
    <t>500</t>
  </si>
  <si>
    <t>Высшее должностное лицо  органа местного самоуправления</t>
  </si>
  <si>
    <t>Высшее должностное лицо органа местного самоуправления</t>
  </si>
  <si>
    <t>002 04 00</t>
  </si>
  <si>
    <t>Денежные выплаты медицинскому персоналу</t>
  </si>
  <si>
    <t>520 18 00</t>
  </si>
  <si>
    <t>520 10 01</t>
  </si>
  <si>
    <t>Организация выплаты компенсации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 за счет средств бюджета Московской области</t>
  </si>
  <si>
    <t>520 10 02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</si>
  <si>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за счет средств федерального бюджета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</si>
  <si>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</si>
  <si>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</si>
  <si>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002 64 00</t>
  </si>
  <si>
    <t>Управление внутренних дел по Мытищинскому  району</t>
  </si>
  <si>
    <t>008</t>
  </si>
  <si>
    <t>0008</t>
  </si>
  <si>
    <t>Муниципальная целевая программа  "Переселение граждан  из ветхого и аварийного жилищного фонда в городе Долгопрудном на 2007-2010 годы"</t>
  </si>
  <si>
    <t>795 11 00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</si>
  <si>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</si>
  <si>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</si>
  <si>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</si>
  <si>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</si>
  <si>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</si>
  <si>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</si>
  <si>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</si>
  <si>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</si>
  <si>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Подпрограмма  "Обеспечение жильем молодых семей"</t>
  </si>
  <si>
    <t>522 02 04</t>
  </si>
  <si>
    <t>Федеральная целевая программа "Жилище" на 2002-2010 годы</t>
  </si>
  <si>
    <t>104 00 00</t>
  </si>
  <si>
    <t>104 02 00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</si>
  <si>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</si>
  <si>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</si>
  <si>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</si>
  <si>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</si>
  <si>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Детские дома</t>
  </si>
  <si>
    <t>424 00 00</t>
  </si>
  <si>
    <t>424 99 00</t>
  </si>
  <si>
    <t>Межбюджетные трансферты</t>
  </si>
  <si>
    <t>Иные межбюджетные трансферты</t>
  </si>
  <si>
    <t>Иные  безвозмездные и безвозвратные перечисления</t>
  </si>
  <si>
    <t>017</t>
  </si>
  <si>
    <t>(Приложение №3</t>
  </si>
  <si>
    <t>(Приложение №5</t>
  </si>
  <si>
    <t>Мероприятия в области коммунального хозяйства</t>
  </si>
  <si>
    <t>351 005 00</t>
  </si>
  <si>
    <t>351 05 00</t>
  </si>
  <si>
    <t>Программа МУП " Инженерные сети г. Долгопрудного" по антитеррористической защищенности котельных на 2008-2010 годы"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</si>
  <si>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</si>
  <si>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</si>
  <si>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</si>
  <si>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</si>
  <si>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Программа   "Развитие и поддержка малого и среднего предпринимательства в городском округе  Долгопрудный Московской области на 2008-2009 годы"</t>
  </si>
  <si>
    <t>795 15 00</t>
  </si>
  <si>
    <t>795 14 00</t>
  </si>
  <si>
    <t>Телевидение и   радиовещание</t>
  </si>
  <si>
    <t>Субсидии на обеспечение жильем</t>
  </si>
  <si>
    <t>501</t>
  </si>
  <si>
    <t>Государственная поддержка внедрения комплексных мер модернизации оборудования</t>
  </si>
  <si>
    <t>520 12 00</t>
  </si>
  <si>
    <t>Внедрение  инновационных образовательных программ</t>
  </si>
  <si>
    <t>436 0200</t>
  </si>
  <si>
    <t>436 02 00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</si>
  <si>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(ПИР и строительство тепловой сети-связки между котельной по адресу ул. Заводская и ул . Спортивная, 3а до ЦТП № 19 с учетом реконструкции тепловой сети</t>
    </r>
    <r>
      <rPr>
        <sz val="10"/>
        <rFont val="Times New Roman Cyr"/>
        <family val="1"/>
      </rPr>
      <t>)</t>
    </r>
  </si>
  <si>
    <t>Муниципальная целевая программа "Обеспечение жильем  молодых семей в г. Долгопрудный на 2006-2007 годы"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</si>
  <si>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</si>
  <si>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</si>
  <si>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Разработка проектно-сметной документации на  водоснабжение и водоотведение в мкр. Павельцево</t>
    </r>
    <r>
      <rPr>
        <sz val="10"/>
        <rFont val="Times New Roman Cyr"/>
        <family val="1"/>
      </rPr>
      <t>)</t>
    </r>
  </si>
  <si>
    <t>436 03 00</t>
  </si>
  <si>
    <t>Внедрение современных образовательных технологий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</si>
  <si>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</si>
  <si>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</si>
  <si>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</si>
  <si>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</si>
  <si>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Фонд софинансирования</t>
  </si>
  <si>
    <t>098 02 00</t>
  </si>
  <si>
    <t>010</t>
  </si>
  <si>
    <t>098 02 01</t>
  </si>
  <si>
    <t>Оснащение общеобразовательных учреждений учебным оборудованием</t>
  </si>
  <si>
    <t>436 07 00</t>
  </si>
  <si>
    <t>Мероприятия в области коммунального хозяйства( с подготовкой к зиме 2008/2009 г)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</si>
  <si>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Проектно-изыскательские работы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</si>
  <si>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 крытого катка(Ледовый дворец)и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</si>
  <si>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Погашение кредиторской задолженности по строительству школы №14)</t>
    </r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</si>
  <si>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</si>
  <si>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</si>
  <si>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 мероприятий по капитальному ремонту многоквартирных домов </t>
  </si>
  <si>
    <t>098 00 00</t>
  </si>
  <si>
    <t>098 01 00</t>
  </si>
  <si>
    <t>098 01 01</t>
  </si>
  <si>
    <t>Комплектование книжных фондов библиотек муниципальных образований</t>
  </si>
  <si>
    <t>450 06 00</t>
  </si>
  <si>
    <t>Приложение №3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</si>
  <si>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</si>
  <si>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Муниципальная   программа "Развитие сферы культуры г. Долгопрудного  на среднесрочную перспективу (2007-2009 гг.)"</t>
  </si>
  <si>
    <t>Приложение №5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</si>
  <si>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стр-во жилых домов,инженерной инфраструктуры, социальных объектов по комплексной реконструкции микрорайона №9 (Водники)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</si>
  <si>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Реконструкция  канализационного коллектора по адресу: МО г. Долгопрудный , мкр.  Хлебниково</t>
    </r>
    <r>
      <rPr>
        <sz val="10"/>
        <rFont val="Times New Roman Cyr"/>
        <family val="1"/>
      </rPr>
      <t>)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</si>
  <si>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0"/>
      </rPr>
      <t>(ПИР на стр-во узла учета и кольцевого водопровода в микр.Хлебниково)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</si>
  <si>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</si>
  <si>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3 категории № 15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</si>
  <si>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Реконструкция муниципального дошкольного образовательного учреждения детского сада 2 категории № 21 "Росинка" г. Долгопрудного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</si>
  <si>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</si>
  <si>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</si>
  <si>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</si>
  <si>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и ПИР патологоанатомического корпуса с  отделением судебно-медицинской экспертизы на территории МУЗ "ДЦГБ" 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</si>
  <si>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Капитальный ремонт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МДОУ детский сад № 6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</si>
  <si>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детского сада № 8)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</si>
  <si>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Реконструкция  здания молочной кухни под детскую поликлинику по адресу: МО,г. Долгопрудный, ул. Спортивная , д.11и проектно-изыскательские работы</t>
    </r>
    <r>
      <rPr>
        <sz val="10"/>
        <rFont val="Times New Roman Cyr"/>
        <family val="1"/>
      </rPr>
      <t>)</t>
    </r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</si>
  <si>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</si>
  <si>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 "21" ноября 2007г. №95-нр)</t>
  </si>
  <si>
    <t>от  "21" ноября 2007 г. №95-нр)</t>
  </si>
  <si>
    <t>от 10 ноября 2008г. №87-нр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</si>
</sst>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2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8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6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1" fillId="0" borderId="2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9" xfId="0" applyFont="1" applyBorder="1" applyAlignment="1">
      <alignment wrapText="1"/>
    </xf>
    <xf numFmtId="164" fontId="15" fillId="0" borderId="12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15" fillId="0" borderId="5" xfId="0" applyNumberFormat="1" applyFont="1" applyFill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16" fillId="0" borderId="15" xfId="0" applyFont="1" applyBorder="1" applyAlignment="1">
      <alignment wrapText="1"/>
    </xf>
    <xf numFmtId="49" fontId="16" fillId="0" borderId="11" xfId="0" applyNumberFormat="1" applyFont="1" applyBorder="1" applyAlignment="1">
      <alignment/>
    </xf>
    <xf numFmtId="49" fontId="16" fillId="0" borderId="19" xfId="0" applyNumberFormat="1" applyFont="1" applyBorder="1" applyAlignment="1">
      <alignment/>
    </xf>
    <xf numFmtId="49" fontId="16" fillId="0" borderId="3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16" xfId="0" applyFont="1" applyBorder="1" applyAlignment="1">
      <alignment/>
    </xf>
    <xf numFmtId="49" fontId="16" fillId="0" borderId="13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164" fontId="16" fillId="0" borderId="13" xfId="0" applyNumberFormat="1" applyFont="1" applyBorder="1" applyAlignment="1">
      <alignment/>
    </xf>
    <xf numFmtId="0" fontId="16" fillId="0" borderId="15" xfId="0" applyFont="1" applyBorder="1" applyAlignment="1">
      <alignment/>
    </xf>
    <xf numFmtId="49" fontId="16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6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6" fillId="0" borderId="6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6" fillId="0" borderId="10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6" fillId="0" borderId="16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49" fontId="16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16" fillId="0" borderId="17" xfId="0" applyFont="1" applyBorder="1" applyAlignment="1">
      <alignment wrapText="1"/>
    </xf>
    <xf numFmtId="164" fontId="16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16" fillId="0" borderId="20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6" fillId="0" borderId="11" xfId="0" applyFont="1" applyBorder="1" applyAlignment="1">
      <alignment/>
    </xf>
    <xf numFmtId="49" fontId="16" fillId="0" borderId="32" xfId="0" applyNumberFormat="1" applyFont="1" applyBorder="1" applyAlignment="1">
      <alignment/>
    </xf>
    <xf numFmtId="49" fontId="16" fillId="0" borderId="31" xfId="0" applyNumberFormat="1" applyFont="1" applyBorder="1" applyAlignment="1">
      <alignment/>
    </xf>
    <xf numFmtId="164" fontId="16" fillId="0" borderId="3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49" fontId="5" fillId="0" borderId="5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16" fillId="0" borderId="7" xfId="0" applyFont="1" applyBorder="1" applyAlignment="1">
      <alignment/>
    </xf>
    <xf numFmtId="164" fontId="16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8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0" fontId="2" fillId="0" borderId="19" xfId="0" applyFont="1" applyBorder="1" applyAlignment="1">
      <alignment/>
    </xf>
    <xf numFmtId="0" fontId="1" fillId="0" borderId="29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7" xfId="0" applyNumberFormat="1" applyFont="1" applyFill="1" applyBorder="1" applyAlignment="1">
      <alignment/>
    </xf>
    <xf numFmtId="0" fontId="6" fillId="0" borderId="38" xfId="0" applyFont="1" applyBorder="1" applyAlignment="1">
      <alignment wrapText="1"/>
    </xf>
    <xf numFmtId="164" fontId="2" fillId="0" borderId="39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6" fillId="0" borderId="4" xfId="0" applyFont="1" applyBorder="1" applyAlignment="1">
      <alignment/>
    </xf>
    <xf numFmtId="0" fontId="5" fillId="0" borderId="33" xfId="0" applyFont="1" applyBorder="1" applyAlignment="1">
      <alignment wrapText="1"/>
    </xf>
    <xf numFmtId="0" fontId="15" fillId="0" borderId="9" xfId="0" applyFont="1" applyBorder="1" applyAlignment="1">
      <alignment/>
    </xf>
    <xf numFmtId="0" fontId="15" fillId="0" borderId="27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64" fontId="5" fillId="0" borderId="9" xfId="0" applyNumberFormat="1" applyFont="1" applyBorder="1" applyAlignment="1">
      <alignment wrapText="1"/>
    </xf>
    <xf numFmtId="164" fontId="16" fillId="0" borderId="29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16" fillId="0" borderId="33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16" fillId="0" borderId="35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16" fillId="0" borderId="3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6" fillId="0" borderId="36" xfId="0" applyNumberFormat="1" applyFont="1" applyBorder="1" applyAlignment="1">
      <alignment/>
    </xf>
    <xf numFmtId="49" fontId="16" fillId="0" borderId="19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7" fillId="0" borderId="17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16" fillId="0" borderId="40" xfId="0" applyNumberFormat="1" applyFont="1" applyBorder="1" applyAlignment="1">
      <alignment/>
    </xf>
    <xf numFmtId="0" fontId="9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8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0" fontId="16" fillId="0" borderId="4" xfId="0" applyFont="1" applyBorder="1" applyAlignment="1">
      <alignment wrapText="1"/>
    </xf>
    <xf numFmtId="49" fontId="16" fillId="0" borderId="42" xfId="0" applyNumberFormat="1" applyFont="1" applyBorder="1" applyAlignment="1">
      <alignment/>
    </xf>
    <xf numFmtId="164" fontId="17" fillId="0" borderId="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" xfId="0" applyFont="1" applyBorder="1" applyAlignment="1">
      <alignment/>
    </xf>
    <xf numFmtId="49" fontId="2" fillId="0" borderId="4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43" xfId="0" applyNumberFormat="1" applyFont="1" applyBorder="1" applyAlignment="1">
      <alignment/>
    </xf>
    <xf numFmtId="0" fontId="16" fillId="0" borderId="40" xfId="0" applyFont="1" applyBorder="1" applyAlignment="1">
      <alignment/>
    </xf>
    <xf numFmtId="164" fontId="16" fillId="0" borderId="40" xfId="0" applyNumberFormat="1" applyFont="1" applyBorder="1" applyAlignment="1">
      <alignment/>
    </xf>
    <xf numFmtId="0" fontId="16" fillId="0" borderId="40" xfId="0" applyFont="1" applyBorder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zoomScale="75" zoomScaleNormal="75"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9" customWidth="1"/>
  </cols>
  <sheetData>
    <row r="1" spans="4:8" ht="15.75">
      <c r="D1" s="376"/>
      <c r="E1" s="376"/>
      <c r="F1" s="376"/>
      <c r="G1" s="377"/>
      <c r="H1" s="375" t="s">
        <v>421</v>
      </c>
    </row>
    <row r="2" spans="4:8" ht="15.75">
      <c r="D2" s="376"/>
      <c r="E2" s="376"/>
      <c r="F2" s="376"/>
      <c r="G2" s="377"/>
      <c r="H2" s="375" t="s">
        <v>317</v>
      </c>
    </row>
    <row r="3" spans="4:8" ht="15.75">
      <c r="D3" s="376"/>
      <c r="E3" s="376"/>
      <c r="F3" s="376"/>
      <c r="G3" s="377"/>
      <c r="H3" s="375" t="s">
        <v>441</v>
      </c>
    </row>
    <row r="4" spans="4:8" ht="15.75">
      <c r="D4" s="376"/>
      <c r="E4" s="376"/>
      <c r="F4" s="376"/>
      <c r="G4" s="377"/>
      <c r="H4" s="375" t="s">
        <v>371</v>
      </c>
    </row>
    <row r="5" spans="4:8" ht="15.75">
      <c r="D5" s="376"/>
      <c r="E5" s="376"/>
      <c r="F5" s="376"/>
      <c r="G5" s="377"/>
      <c r="H5" s="375" t="s">
        <v>317</v>
      </c>
    </row>
    <row r="6" spans="4:8" ht="15.75">
      <c r="D6" s="376"/>
      <c r="E6" s="376"/>
      <c r="F6" s="376"/>
      <c r="G6" s="377"/>
      <c r="H6" s="375" t="s">
        <v>439</v>
      </c>
    </row>
    <row r="7" ht="15.75">
      <c r="H7" s="92"/>
    </row>
    <row r="8" spans="1:8" ht="15.75">
      <c r="A8" s="380" t="s">
        <v>158</v>
      </c>
      <c r="B8" s="380"/>
      <c r="C8" s="380"/>
      <c r="D8" s="380"/>
      <c r="E8" s="380"/>
      <c r="F8" s="380"/>
      <c r="G8" s="380"/>
      <c r="H8" s="380"/>
    </row>
    <row r="9" spans="1:8" ht="18.75" customHeight="1">
      <c r="A9" s="381" t="s">
        <v>306</v>
      </c>
      <c r="B9" s="381"/>
      <c r="C9" s="381"/>
      <c r="D9" s="381"/>
      <c r="E9" s="381"/>
      <c r="F9" s="381"/>
      <c r="G9" s="381"/>
      <c r="H9" s="381"/>
    </row>
    <row r="10" spans="1:8" ht="18.75" customHeight="1" thickBot="1">
      <c r="A10" s="143"/>
      <c r="B10" s="143"/>
      <c r="C10" s="143"/>
      <c r="D10" s="143"/>
      <c r="E10" s="143"/>
      <c r="F10" s="143"/>
      <c r="G10" s="143"/>
      <c r="H10" s="144" t="s">
        <v>319</v>
      </c>
    </row>
    <row r="11" spans="1:9" s="49" customFormat="1" ht="16.5" thickBot="1">
      <c r="A11" s="159" t="s">
        <v>131</v>
      </c>
      <c r="B11" s="253" t="s">
        <v>202</v>
      </c>
      <c r="C11" s="20" t="s">
        <v>203</v>
      </c>
      <c r="D11" s="255" t="s">
        <v>204</v>
      </c>
      <c r="E11" s="20" t="s">
        <v>205</v>
      </c>
      <c r="F11" s="255"/>
      <c r="G11" s="275"/>
      <c r="H11" s="160" t="s">
        <v>92</v>
      </c>
      <c r="I11" s="89"/>
    </row>
    <row r="12" spans="1:9" s="49" customFormat="1" ht="33.75" thickBot="1">
      <c r="A12" s="272"/>
      <c r="B12" s="301"/>
      <c r="C12" s="11"/>
      <c r="D12" s="293"/>
      <c r="E12" s="11"/>
      <c r="F12" s="293"/>
      <c r="G12" s="276" t="s">
        <v>62</v>
      </c>
      <c r="H12" s="132" t="s">
        <v>287</v>
      </c>
      <c r="I12" s="89"/>
    </row>
    <row r="13" spans="1:9" s="49" customFormat="1" ht="16.5" thickBot="1">
      <c r="A13" s="17" t="s">
        <v>18</v>
      </c>
      <c r="B13" s="29" t="s">
        <v>206</v>
      </c>
      <c r="C13" s="22" t="s">
        <v>133</v>
      </c>
      <c r="D13" s="13"/>
      <c r="E13" s="22"/>
      <c r="F13" s="13"/>
      <c r="G13" s="277">
        <f>G14+G30+G34+G18+G26+G22</f>
        <v>170449.09999999998</v>
      </c>
      <c r="H13" s="330">
        <f>H14+H30+H34+H18+H26+H22</f>
        <v>4780</v>
      </c>
      <c r="I13" s="89"/>
    </row>
    <row r="14" spans="1:9" s="49" customFormat="1" ht="29.25">
      <c r="A14" s="161" t="s">
        <v>108</v>
      </c>
      <c r="B14" s="285" t="s">
        <v>206</v>
      </c>
      <c r="C14" s="162" t="s">
        <v>207</v>
      </c>
      <c r="D14" s="190"/>
      <c r="E14" s="162"/>
      <c r="F14" s="190"/>
      <c r="G14" s="278">
        <f aca="true" t="shared" si="0" ref="G14:H16">G15</f>
        <v>1668.1</v>
      </c>
      <c r="H14" s="165">
        <f t="shared" si="0"/>
        <v>0</v>
      </c>
      <c r="I14" s="89"/>
    </row>
    <row r="15" spans="1:9" s="49" customFormat="1" ht="18" customHeight="1">
      <c r="A15" s="166" t="s">
        <v>160</v>
      </c>
      <c r="B15" s="208" t="s">
        <v>206</v>
      </c>
      <c r="C15" s="167" t="s">
        <v>207</v>
      </c>
      <c r="D15" s="168" t="s">
        <v>327</v>
      </c>
      <c r="E15" s="167"/>
      <c r="F15" s="168"/>
      <c r="G15" s="209">
        <f t="shared" si="0"/>
        <v>1668.1</v>
      </c>
      <c r="H15" s="170">
        <f t="shared" si="0"/>
        <v>0</v>
      </c>
      <c r="I15" s="89"/>
    </row>
    <row r="16" spans="1:9" s="49" customFormat="1" ht="15.75">
      <c r="A16" s="171" t="s">
        <v>331</v>
      </c>
      <c r="B16" s="208" t="s">
        <v>206</v>
      </c>
      <c r="C16" s="167" t="s">
        <v>207</v>
      </c>
      <c r="D16" s="168" t="s">
        <v>328</v>
      </c>
      <c r="E16" s="167"/>
      <c r="F16" s="168"/>
      <c r="G16" s="209">
        <f t="shared" si="0"/>
        <v>1668.1</v>
      </c>
      <c r="H16" s="170">
        <f t="shared" si="0"/>
        <v>0</v>
      </c>
      <c r="I16" s="89"/>
    </row>
    <row r="17" spans="1:9" s="49" customFormat="1" ht="15.75">
      <c r="A17" s="171" t="s">
        <v>159</v>
      </c>
      <c r="B17" s="208" t="s">
        <v>206</v>
      </c>
      <c r="C17" s="167" t="s">
        <v>207</v>
      </c>
      <c r="D17" s="168" t="s">
        <v>328</v>
      </c>
      <c r="E17" s="167" t="s">
        <v>329</v>
      </c>
      <c r="F17" s="168"/>
      <c r="G17" s="209">
        <f>'Прилож №5'!H16</f>
        <v>1668.1</v>
      </c>
      <c r="H17" s="170">
        <f>'Прилож №5'!I16</f>
        <v>0</v>
      </c>
      <c r="I17" s="89"/>
    </row>
    <row r="18" spans="1:9" s="49" customFormat="1" ht="44.25" customHeight="1">
      <c r="A18" s="172" t="s">
        <v>109</v>
      </c>
      <c r="B18" s="206" t="s">
        <v>206</v>
      </c>
      <c r="C18" s="173" t="s">
        <v>208</v>
      </c>
      <c r="D18" s="174"/>
      <c r="E18" s="173"/>
      <c r="F18" s="174"/>
      <c r="G18" s="207">
        <f aca="true" t="shared" si="1" ref="G18:H20">G19</f>
        <v>102075</v>
      </c>
      <c r="H18" s="176">
        <f t="shared" si="1"/>
        <v>4671</v>
      </c>
      <c r="I18" s="89"/>
    </row>
    <row r="19" spans="1:9" s="49" customFormat="1" ht="18.75" customHeight="1">
      <c r="A19" s="166" t="s">
        <v>160</v>
      </c>
      <c r="B19" s="208" t="s">
        <v>206</v>
      </c>
      <c r="C19" s="167" t="s">
        <v>208</v>
      </c>
      <c r="D19" s="168" t="s">
        <v>327</v>
      </c>
      <c r="E19" s="167"/>
      <c r="F19" s="168"/>
      <c r="G19" s="209">
        <f t="shared" si="1"/>
        <v>102075</v>
      </c>
      <c r="H19" s="170">
        <f t="shared" si="1"/>
        <v>4671</v>
      </c>
      <c r="I19" s="89"/>
    </row>
    <row r="20" spans="1:9" s="49" customFormat="1" ht="15.75">
      <c r="A20" s="171" t="s">
        <v>52</v>
      </c>
      <c r="B20" s="208" t="s">
        <v>206</v>
      </c>
      <c r="C20" s="167" t="s">
        <v>208</v>
      </c>
      <c r="D20" s="168" t="s">
        <v>332</v>
      </c>
      <c r="E20" s="167"/>
      <c r="F20" s="168"/>
      <c r="G20" s="209">
        <f t="shared" si="1"/>
        <v>102075</v>
      </c>
      <c r="H20" s="170">
        <f t="shared" si="1"/>
        <v>4671</v>
      </c>
      <c r="I20" s="89"/>
    </row>
    <row r="21" spans="1:9" s="49" customFormat="1" ht="15.75">
      <c r="A21" s="171" t="s">
        <v>159</v>
      </c>
      <c r="B21" s="208" t="s">
        <v>206</v>
      </c>
      <c r="C21" s="167" t="s">
        <v>208</v>
      </c>
      <c r="D21" s="168" t="s">
        <v>332</v>
      </c>
      <c r="E21" s="167" t="s">
        <v>329</v>
      </c>
      <c r="F21" s="168"/>
      <c r="G21" s="209">
        <f>'Прилож №5'!H20</f>
        <v>102075</v>
      </c>
      <c r="H21" s="170">
        <f>'Прилож №5'!I20</f>
        <v>4671</v>
      </c>
      <c r="I21" s="89"/>
    </row>
    <row r="22" spans="1:9" s="49" customFormat="1" ht="15.75">
      <c r="A22" s="28" t="s">
        <v>360</v>
      </c>
      <c r="B22" s="208" t="s">
        <v>206</v>
      </c>
      <c r="C22" s="167" t="s">
        <v>221</v>
      </c>
      <c r="D22" s="168"/>
      <c r="E22" s="167"/>
      <c r="F22" s="168"/>
      <c r="G22" s="209">
        <f aca="true" t="shared" si="2" ref="G22:H24">G23</f>
        <v>124</v>
      </c>
      <c r="H22" s="170">
        <f t="shared" si="2"/>
        <v>109</v>
      </c>
      <c r="I22" s="89"/>
    </row>
    <row r="23" spans="1:9" s="49" customFormat="1" ht="15.75">
      <c r="A23" s="28" t="s">
        <v>160</v>
      </c>
      <c r="B23" s="208" t="s">
        <v>206</v>
      </c>
      <c r="C23" s="167" t="s">
        <v>221</v>
      </c>
      <c r="D23" s="168" t="s">
        <v>361</v>
      </c>
      <c r="E23" s="167"/>
      <c r="F23" s="168"/>
      <c r="G23" s="209">
        <f t="shared" si="2"/>
        <v>124</v>
      </c>
      <c r="H23" s="170">
        <f t="shared" si="2"/>
        <v>109</v>
      </c>
      <c r="I23" s="89"/>
    </row>
    <row r="24" spans="1:9" s="49" customFormat="1" ht="26.25">
      <c r="A24" s="36" t="s">
        <v>362</v>
      </c>
      <c r="B24" s="208" t="s">
        <v>206</v>
      </c>
      <c r="C24" s="167" t="s">
        <v>221</v>
      </c>
      <c r="D24" s="168" t="s">
        <v>363</v>
      </c>
      <c r="E24" s="167"/>
      <c r="F24" s="168"/>
      <c r="G24" s="209">
        <f t="shared" si="2"/>
        <v>124</v>
      </c>
      <c r="H24" s="170">
        <f t="shared" si="2"/>
        <v>109</v>
      </c>
      <c r="I24" s="89"/>
    </row>
    <row r="25" spans="1:9" s="49" customFormat="1" ht="15.75">
      <c r="A25" s="28" t="s">
        <v>159</v>
      </c>
      <c r="B25" s="208" t="s">
        <v>206</v>
      </c>
      <c r="C25" s="167" t="s">
        <v>221</v>
      </c>
      <c r="D25" s="168" t="s">
        <v>363</v>
      </c>
      <c r="E25" s="167" t="s">
        <v>329</v>
      </c>
      <c r="F25" s="168"/>
      <c r="G25" s="209">
        <f>'Прилож №5'!H24</f>
        <v>124</v>
      </c>
      <c r="H25" s="170">
        <f>'Прилож №5'!I24</f>
        <v>109</v>
      </c>
      <c r="I25" s="89"/>
    </row>
    <row r="26" spans="1:9" s="24" customFormat="1" ht="15.75">
      <c r="A26" s="177" t="s">
        <v>134</v>
      </c>
      <c r="B26" s="206" t="s">
        <v>206</v>
      </c>
      <c r="C26" s="173" t="s">
        <v>209</v>
      </c>
      <c r="D26" s="174"/>
      <c r="E26" s="173"/>
      <c r="F26" s="174"/>
      <c r="G26" s="207">
        <f aca="true" t="shared" si="3" ref="G26:H28">G27</f>
        <v>2598.3</v>
      </c>
      <c r="H26" s="176">
        <f t="shared" si="3"/>
        <v>0</v>
      </c>
      <c r="I26" s="89"/>
    </row>
    <row r="27" spans="1:9" s="49" customFormat="1" ht="15.75">
      <c r="A27" s="171" t="s">
        <v>135</v>
      </c>
      <c r="B27" s="208" t="s">
        <v>206</v>
      </c>
      <c r="C27" s="167" t="s">
        <v>209</v>
      </c>
      <c r="D27" s="168" t="s">
        <v>136</v>
      </c>
      <c r="E27" s="167"/>
      <c r="F27" s="168"/>
      <c r="G27" s="209">
        <f t="shared" si="3"/>
        <v>2598.3</v>
      </c>
      <c r="H27" s="170">
        <f t="shared" si="3"/>
        <v>0</v>
      </c>
      <c r="I27" s="89"/>
    </row>
    <row r="28" spans="1:9" s="49" customFormat="1" ht="15.75">
      <c r="A28" s="171" t="s">
        <v>137</v>
      </c>
      <c r="B28" s="208" t="s">
        <v>206</v>
      </c>
      <c r="C28" s="167" t="s">
        <v>209</v>
      </c>
      <c r="D28" s="168" t="s">
        <v>161</v>
      </c>
      <c r="E28" s="167"/>
      <c r="F28" s="168"/>
      <c r="G28" s="209">
        <f t="shared" si="3"/>
        <v>2598.3</v>
      </c>
      <c r="H28" s="170">
        <f t="shared" si="3"/>
        <v>0</v>
      </c>
      <c r="I28" s="89"/>
    </row>
    <row r="29" spans="1:9" s="49" customFormat="1" ht="15.75">
      <c r="A29" s="171" t="s">
        <v>162</v>
      </c>
      <c r="B29" s="208" t="s">
        <v>206</v>
      </c>
      <c r="C29" s="167" t="s">
        <v>209</v>
      </c>
      <c r="D29" s="168" t="s">
        <v>161</v>
      </c>
      <c r="E29" s="167" t="s">
        <v>140</v>
      </c>
      <c r="F29" s="168"/>
      <c r="G29" s="209">
        <f>'Прилож №5'!H28</f>
        <v>2598.3</v>
      </c>
      <c r="H29" s="170">
        <f>'Прилож №5'!I28</f>
        <v>0</v>
      </c>
      <c r="I29" s="89"/>
    </row>
    <row r="30" spans="1:9" s="49" customFormat="1" ht="15.75">
      <c r="A30" s="178" t="s">
        <v>17</v>
      </c>
      <c r="B30" s="206" t="s">
        <v>206</v>
      </c>
      <c r="C30" s="173" t="s">
        <v>210</v>
      </c>
      <c r="D30" s="174"/>
      <c r="E30" s="173"/>
      <c r="F30" s="174" t="s">
        <v>1</v>
      </c>
      <c r="G30" s="207">
        <f aca="true" t="shared" si="4" ref="G30:H32">G31</f>
        <v>5000</v>
      </c>
      <c r="H30" s="176">
        <f t="shared" si="4"/>
        <v>0</v>
      </c>
      <c r="I30" s="89"/>
    </row>
    <row r="31" spans="1:9" s="49" customFormat="1" ht="15.75">
      <c r="A31" s="179" t="s">
        <v>17</v>
      </c>
      <c r="B31" s="210" t="s">
        <v>206</v>
      </c>
      <c r="C31" s="180" t="s">
        <v>210</v>
      </c>
      <c r="D31" s="181" t="s">
        <v>20</v>
      </c>
      <c r="E31" s="167"/>
      <c r="F31" s="181"/>
      <c r="G31" s="211">
        <f t="shared" si="4"/>
        <v>5000</v>
      </c>
      <c r="H31" s="182">
        <f t="shared" si="4"/>
        <v>0</v>
      </c>
      <c r="I31" s="89"/>
    </row>
    <row r="32" spans="1:9" s="49" customFormat="1" ht="15.75">
      <c r="A32" s="166" t="s">
        <v>163</v>
      </c>
      <c r="B32" s="210" t="s">
        <v>206</v>
      </c>
      <c r="C32" s="180" t="s">
        <v>210</v>
      </c>
      <c r="D32" s="181" t="s">
        <v>164</v>
      </c>
      <c r="E32" s="167"/>
      <c r="F32" s="181"/>
      <c r="G32" s="211">
        <f t="shared" si="4"/>
        <v>5000</v>
      </c>
      <c r="H32" s="182">
        <f t="shared" si="4"/>
        <v>0</v>
      </c>
      <c r="I32" s="89"/>
    </row>
    <row r="33" spans="1:9" s="49" customFormat="1" ht="15.75">
      <c r="A33" s="171" t="s">
        <v>162</v>
      </c>
      <c r="B33" s="208" t="s">
        <v>206</v>
      </c>
      <c r="C33" s="167" t="s">
        <v>210</v>
      </c>
      <c r="D33" s="168" t="s">
        <v>164</v>
      </c>
      <c r="E33" s="167" t="s">
        <v>140</v>
      </c>
      <c r="F33" s="168"/>
      <c r="G33" s="209">
        <f>'Прилож №5'!H32</f>
        <v>5000</v>
      </c>
      <c r="H33" s="170">
        <f>'Прилож №5'!I32</f>
        <v>0</v>
      </c>
      <c r="I33" s="89"/>
    </row>
    <row r="34" spans="1:9" s="49" customFormat="1" ht="15.75">
      <c r="A34" s="178" t="s">
        <v>83</v>
      </c>
      <c r="B34" s="206" t="s">
        <v>206</v>
      </c>
      <c r="C34" s="173" t="s">
        <v>211</v>
      </c>
      <c r="D34" s="174"/>
      <c r="E34" s="173"/>
      <c r="F34" s="174"/>
      <c r="G34" s="207">
        <f>G35+G40</f>
        <v>58983.7</v>
      </c>
      <c r="H34" s="176">
        <f>H35+H40</f>
        <v>0</v>
      </c>
      <c r="I34" s="89"/>
    </row>
    <row r="35" spans="1:9" s="49" customFormat="1" ht="15.75">
      <c r="A35" s="183" t="s">
        <v>19</v>
      </c>
      <c r="B35" s="208" t="s">
        <v>206</v>
      </c>
      <c r="C35" s="167" t="s">
        <v>211</v>
      </c>
      <c r="D35" s="168" t="s">
        <v>327</v>
      </c>
      <c r="E35" s="167"/>
      <c r="F35" s="168"/>
      <c r="G35" s="209">
        <f>G36+G38</f>
        <v>23941.7</v>
      </c>
      <c r="H35" s="170">
        <f>H36+H38</f>
        <v>0</v>
      </c>
      <c r="I35" s="89"/>
    </row>
    <row r="36" spans="1:9" s="49" customFormat="1" ht="15.75">
      <c r="A36" s="183" t="s">
        <v>52</v>
      </c>
      <c r="B36" s="208" t="s">
        <v>206</v>
      </c>
      <c r="C36" s="167" t="s">
        <v>211</v>
      </c>
      <c r="D36" s="168" t="s">
        <v>332</v>
      </c>
      <c r="E36" s="167"/>
      <c r="F36" s="168"/>
      <c r="G36" s="209">
        <f>G37</f>
        <v>23806.7</v>
      </c>
      <c r="H36" s="170">
        <f>H37</f>
        <v>0</v>
      </c>
      <c r="I36" s="89"/>
    </row>
    <row r="37" spans="1:9" s="49" customFormat="1" ht="15.75">
      <c r="A37" s="171" t="s">
        <v>159</v>
      </c>
      <c r="B37" s="208" t="s">
        <v>206</v>
      </c>
      <c r="C37" s="167" t="s">
        <v>211</v>
      </c>
      <c r="D37" s="168" t="s">
        <v>332</v>
      </c>
      <c r="E37" s="167" t="s">
        <v>329</v>
      </c>
      <c r="F37" s="168"/>
      <c r="G37" s="209">
        <f>'Прилож №5'!H442+'Прилож №5'!H521</f>
        <v>23806.7</v>
      </c>
      <c r="H37" s="170">
        <f>'Прилож №5'!I442+'Прилож №5'!I521</f>
        <v>0</v>
      </c>
      <c r="I37" s="89"/>
    </row>
    <row r="38" spans="1:9" s="49" customFormat="1" ht="30">
      <c r="A38" s="166" t="s">
        <v>165</v>
      </c>
      <c r="B38" s="208" t="s">
        <v>206</v>
      </c>
      <c r="C38" s="167" t="s">
        <v>211</v>
      </c>
      <c r="D38" s="168" t="s">
        <v>166</v>
      </c>
      <c r="E38" s="167"/>
      <c r="F38" s="168"/>
      <c r="G38" s="209">
        <f>G39</f>
        <v>135</v>
      </c>
      <c r="H38" s="170">
        <f>H39</f>
        <v>0</v>
      </c>
      <c r="I38" s="89"/>
    </row>
    <row r="39" spans="1:9" s="49" customFormat="1" ht="15.75">
      <c r="A39" s="171" t="s">
        <v>162</v>
      </c>
      <c r="B39" s="208" t="s">
        <v>206</v>
      </c>
      <c r="C39" s="167" t="s">
        <v>211</v>
      </c>
      <c r="D39" s="168" t="s">
        <v>166</v>
      </c>
      <c r="E39" s="167" t="s">
        <v>140</v>
      </c>
      <c r="F39" s="168"/>
      <c r="G39" s="209">
        <f>'Прилож №5'!H36</f>
        <v>135</v>
      </c>
      <c r="H39" s="170">
        <f>'Прилож №5'!I36</f>
        <v>0</v>
      </c>
      <c r="I39" s="122"/>
    </row>
    <row r="40" spans="1:9" s="49" customFormat="1" ht="30">
      <c r="A40" s="166" t="s">
        <v>225</v>
      </c>
      <c r="B40" s="208" t="s">
        <v>206</v>
      </c>
      <c r="C40" s="167" t="s">
        <v>211</v>
      </c>
      <c r="D40" s="168" t="s">
        <v>150</v>
      </c>
      <c r="E40" s="167"/>
      <c r="F40" s="168"/>
      <c r="G40" s="209">
        <f>G41</f>
        <v>35042</v>
      </c>
      <c r="H40" s="170">
        <f>H41</f>
        <v>0</v>
      </c>
      <c r="I40" s="89"/>
    </row>
    <row r="41" spans="1:9" s="49" customFormat="1" ht="15.75">
      <c r="A41" s="166" t="s">
        <v>80</v>
      </c>
      <c r="B41" s="208" t="s">
        <v>206</v>
      </c>
      <c r="C41" s="167" t="s">
        <v>211</v>
      </c>
      <c r="D41" s="168" t="s">
        <v>224</v>
      </c>
      <c r="E41" s="167"/>
      <c r="F41" s="168"/>
      <c r="G41" s="209">
        <f>G42</f>
        <v>35042</v>
      </c>
      <c r="H41" s="170">
        <f>H42</f>
        <v>0</v>
      </c>
      <c r="I41" s="89"/>
    </row>
    <row r="42" spans="1:9" s="49" customFormat="1" ht="16.5" thickBot="1">
      <c r="A42" s="171" t="s">
        <v>159</v>
      </c>
      <c r="B42" s="210" t="s">
        <v>206</v>
      </c>
      <c r="C42" s="180" t="s">
        <v>211</v>
      </c>
      <c r="D42" s="181" t="s">
        <v>224</v>
      </c>
      <c r="E42" s="180" t="s">
        <v>329</v>
      </c>
      <c r="F42" s="181"/>
      <c r="G42" s="211">
        <f>'Прилож №5'!H524+'Прилож №5'!H37</f>
        <v>35042</v>
      </c>
      <c r="H42" s="182">
        <f>'Прилож №5'!I524</f>
        <v>0</v>
      </c>
      <c r="I42" s="122"/>
    </row>
    <row r="43" spans="1:9" s="49" customFormat="1" ht="16.5" thickBot="1">
      <c r="A43" s="185" t="s">
        <v>84</v>
      </c>
      <c r="B43" s="286" t="s">
        <v>207</v>
      </c>
      <c r="C43" s="186" t="s">
        <v>133</v>
      </c>
      <c r="D43" s="187"/>
      <c r="E43" s="186"/>
      <c r="F43" s="187"/>
      <c r="G43" s="202">
        <f aca="true" t="shared" si="5" ref="G43:H46">G44</f>
        <v>1171</v>
      </c>
      <c r="H43" s="188">
        <f t="shared" si="5"/>
        <v>0</v>
      </c>
      <c r="I43" s="89"/>
    </row>
    <row r="44" spans="1:9" s="49" customFormat="1" ht="15.75">
      <c r="A44" s="189" t="s">
        <v>85</v>
      </c>
      <c r="B44" s="285" t="s">
        <v>207</v>
      </c>
      <c r="C44" s="162" t="s">
        <v>208</v>
      </c>
      <c r="D44" s="190"/>
      <c r="E44" s="162"/>
      <c r="F44" s="190"/>
      <c r="G44" s="278">
        <f t="shared" si="5"/>
        <v>1171</v>
      </c>
      <c r="H44" s="165">
        <f t="shared" si="5"/>
        <v>0</v>
      </c>
      <c r="I44" s="89"/>
    </row>
    <row r="45" spans="1:9" s="49" customFormat="1" ht="30">
      <c r="A45" s="166" t="s">
        <v>110</v>
      </c>
      <c r="B45" s="208" t="s">
        <v>207</v>
      </c>
      <c r="C45" s="167" t="s">
        <v>208</v>
      </c>
      <c r="D45" s="168" t="s">
        <v>86</v>
      </c>
      <c r="E45" s="167"/>
      <c r="F45" s="168"/>
      <c r="G45" s="209">
        <f t="shared" si="5"/>
        <v>1171</v>
      </c>
      <c r="H45" s="170">
        <f t="shared" si="5"/>
        <v>0</v>
      </c>
      <c r="I45" s="89"/>
    </row>
    <row r="46" spans="1:9" s="49" customFormat="1" ht="29.25" customHeight="1">
      <c r="A46" s="166" t="s">
        <v>111</v>
      </c>
      <c r="B46" s="208" t="s">
        <v>207</v>
      </c>
      <c r="C46" s="167" t="s">
        <v>208</v>
      </c>
      <c r="D46" s="168" t="s">
        <v>167</v>
      </c>
      <c r="E46" s="167"/>
      <c r="F46" s="294"/>
      <c r="G46" s="211">
        <f t="shared" si="5"/>
        <v>1171</v>
      </c>
      <c r="H46" s="182">
        <f t="shared" si="5"/>
        <v>0</v>
      </c>
      <c r="I46" s="89"/>
    </row>
    <row r="47" spans="1:9" s="49" customFormat="1" ht="15" customHeight="1" thickBot="1">
      <c r="A47" s="171" t="s">
        <v>159</v>
      </c>
      <c r="B47" s="210" t="s">
        <v>207</v>
      </c>
      <c r="C47" s="180" t="s">
        <v>208</v>
      </c>
      <c r="D47" s="181" t="s">
        <v>167</v>
      </c>
      <c r="E47" s="180" t="s">
        <v>329</v>
      </c>
      <c r="F47" s="294"/>
      <c r="G47" s="211">
        <f>'Прилож №5'!H44+'Прилож №5'!H405</f>
        <v>1171</v>
      </c>
      <c r="H47" s="182">
        <f>'Прилож №5'!I44</f>
        <v>0</v>
      </c>
      <c r="I47" s="89"/>
    </row>
    <row r="48" spans="1:9" s="196" customFormat="1" ht="32.25" customHeight="1" thickBot="1">
      <c r="A48" s="191" t="s">
        <v>122</v>
      </c>
      <c r="B48" s="287" t="s">
        <v>212</v>
      </c>
      <c r="C48" s="192" t="s">
        <v>133</v>
      </c>
      <c r="D48" s="193"/>
      <c r="E48" s="192"/>
      <c r="F48" s="194" t="s">
        <v>2</v>
      </c>
      <c r="G48" s="279">
        <f>G49+G66+G73+G77</f>
        <v>28455.5</v>
      </c>
      <c r="H48" s="195">
        <f>H49+H66+H73+H77</f>
        <v>0</v>
      </c>
      <c r="I48" s="122"/>
    </row>
    <row r="49" spans="1:9" s="24" customFormat="1" ht="15.75">
      <c r="A49" s="177" t="s">
        <v>21</v>
      </c>
      <c r="B49" s="285" t="s">
        <v>212</v>
      </c>
      <c r="C49" s="162" t="s">
        <v>207</v>
      </c>
      <c r="D49" s="190"/>
      <c r="E49" s="162"/>
      <c r="F49" s="190"/>
      <c r="G49" s="278">
        <f>G50</f>
        <v>14777</v>
      </c>
      <c r="H49" s="165">
        <f>H50</f>
        <v>0</v>
      </c>
      <c r="I49" s="89"/>
    </row>
    <row r="50" spans="1:9" s="49" customFormat="1" ht="15.75">
      <c r="A50" s="183" t="s">
        <v>88</v>
      </c>
      <c r="B50" s="208" t="s">
        <v>212</v>
      </c>
      <c r="C50" s="167" t="s">
        <v>207</v>
      </c>
      <c r="D50" s="168" t="s">
        <v>54</v>
      </c>
      <c r="E50" s="167"/>
      <c r="F50" s="168"/>
      <c r="G50" s="209">
        <f>G51+G53+G56+G61+G64</f>
        <v>14777</v>
      </c>
      <c r="H50" s="170">
        <f>H51+H53+H56+H61+H64</f>
        <v>0</v>
      </c>
      <c r="I50" s="89"/>
    </row>
    <row r="51" spans="1:9" s="49" customFormat="1" ht="60">
      <c r="A51" s="166" t="s">
        <v>169</v>
      </c>
      <c r="B51" s="208" t="s">
        <v>212</v>
      </c>
      <c r="C51" s="167" t="s">
        <v>207</v>
      </c>
      <c r="D51" s="168" t="s">
        <v>168</v>
      </c>
      <c r="E51" s="167"/>
      <c r="F51" s="168"/>
      <c r="G51" s="209">
        <f>G52</f>
        <v>3143</v>
      </c>
      <c r="H51" s="170">
        <f>H52</f>
        <v>0</v>
      </c>
      <c r="I51" s="89"/>
    </row>
    <row r="52" spans="1:9" s="49" customFormat="1" ht="30" customHeight="1">
      <c r="A52" s="166" t="s">
        <v>170</v>
      </c>
      <c r="B52" s="208" t="s">
        <v>212</v>
      </c>
      <c r="C52" s="167" t="s">
        <v>207</v>
      </c>
      <c r="D52" s="168" t="s">
        <v>168</v>
      </c>
      <c r="E52" s="167" t="s">
        <v>141</v>
      </c>
      <c r="F52" s="168"/>
      <c r="G52" s="209">
        <f>'Прилож №5'!H49+'Прилож №5'!H548</f>
        <v>3143</v>
      </c>
      <c r="H52" s="170">
        <f>'Прилож №5'!I49+'Прилож №5'!I548</f>
        <v>0</v>
      </c>
      <c r="I52" s="89"/>
    </row>
    <row r="53" spans="1:9" s="49" customFormat="1" ht="15.75">
      <c r="A53" s="183" t="s">
        <v>171</v>
      </c>
      <c r="B53" s="208" t="s">
        <v>212</v>
      </c>
      <c r="C53" s="167" t="s">
        <v>207</v>
      </c>
      <c r="D53" s="168" t="s">
        <v>172</v>
      </c>
      <c r="E53" s="167"/>
      <c r="F53" s="168"/>
      <c r="G53" s="209">
        <f>G54</f>
        <v>10113</v>
      </c>
      <c r="H53" s="170">
        <f>H54</f>
        <v>0</v>
      </c>
      <c r="I53" s="89"/>
    </row>
    <row r="54" spans="1:9" s="49" customFormat="1" ht="30" customHeight="1">
      <c r="A54" s="166" t="s">
        <v>174</v>
      </c>
      <c r="B54" s="208" t="s">
        <v>212</v>
      </c>
      <c r="C54" s="167" t="s">
        <v>207</v>
      </c>
      <c r="D54" s="168" t="s">
        <v>173</v>
      </c>
      <c r="E54" s="167"/>
      <c r="F54" s="168"/>
      <c r="G54" s="209">
        <f>G55</f>
        <v>10113</v>
      </c>
      <c r="H54" s="170">
        <f>H55</f>
        <v>0</v>
      </c>
      <c r="I54" s="89"/>
    </row>
    <row r="55" spans="1:9" s="49" customFormat="1" ht="30" customHeight="1">
      <c r="A55" s="166" t="s">
        <v>170</v>
      </c>
      <c r="B55" s="208" t="s">
        <v>212</v>
      </c>
      <c r="C55" s="167" t="s">
        <v>207</v>
      </c>
      <c r="D55" s="168" t="s">
        <v>173</v>
      </c>
      <c r="E55" s="167" t="s">
        <v>141</v>
      </c>
      <c r="F55" s="168"/>
      <c r="G55" s="209">
        <f>'Прилож №5'!H52+'Прилож №5'!H551</f>
        <v>10113</v>
      </c>
      <c r="H55" s="170">
        <f>'Прилож №5'!I52+'Прилож №5'!I551</f>
        <v>0</v>
      </c>
      <c r="I55" s="89"/>
    </row>
    <row r="56" spans="1:9" s="49" customFormat="1" ht="30">
      <c r="A56" s="166" t="s">
        <v>175</v>
      </c>
      <c r="B56" s="208" t="s">
        <v>212</v>
      </c>
      <c r="C56" s="167" t="s">
        <v>207</v>
      </c>
      <c r="D56" s="168" t="s">
        <v>176</v>
      </c>
      <c r="E56" s="167"/>
      <c r="F56" s="168"/>
      <c r="G56" s="209">
        <f>G57+G59</f>
        <v>1256</v>
      </c>
      <c r="H56" s="170">
        <f>H57+H59</f>
        <v>0</v>
      </c>
      <c r="I56" s="89"/>
    </row>
    <row r="57" spans="1:9" s="49" customFormat="1" ht="15.75">
      <c r="A57" s="183" t="s">
        <v>177</v>
      </c>
      <c r="B57" s="208" t="s">
        <v>212</v>
      </c>
      <c r="C57" s="167" t="s">
        <v>207</v>
      </c>
      <c r="D57" s="168" t="s">
        <v>178</v>
      </c>
      <c r="E57" s="167"/>
      <c r="F57" s="168"/>
      <c r="G57" s="209">
        <f>G58</f>
        <v>515.2</v>
      </c>
      <c r="H57" s="170">
        <f>H58</f>
        <v>0</v>
      </c>
      <c r="I57" s="89"/>
    </row>
    <row r="58" spans="1:9" s="49" customFormat="1" ht="32.25" customHeight="1">
      <c r="A58" s="166" t="s">
        <v>170</v>
      </c>
      <c r="B58" s="208" t="s">
        <v>212</v>
      </c>
      <c r="C58" s="167" t="s">
        <v>207</v>
      </c>
      <c r="D58" s="168" t="s">
        <v>178</v>
      </c>
      <c r="E58" s="167" t="s">
        <v>141</v>
      </c>
      <c r="F58" s="168"/>
      <c r="G58" s="209">
        <f>'Прилож №5'!H55+'Прилож №5'!H554</f>
        <v>515.2</v>
      </c>
      <c r="H58" s="170">
        <f>'Прилож №5'!I55+'Прилож №5'!I554</f>
        <v>0</v>
      </c>
      <c r="I58" s="89"/>
    </row>
    <row r="59" spans="1:9" s="49" customFormat="1" ht="30">
      <c r="A59" s="166" t="s">
        <v>180</v>
      </c>
      <c r="B59" s="208" t="s">
        <v>212</v>
      </c>
      <c r="C59" s="167" t="s">
        <v>207</v>
      </c>
      <c r="D59" s="168" t="s">
        <v>179</v>
      </c>
      <c r="E59" s="167"/>
      <c r="F59" s="168"/>
      <c r="G59" s="209">
        <f>G60</f>
        <v>740.8</v>
      </c>
      <c r="H59" s="170">
        <f>H60</f>
        <v>0</v>
      </c>
      <c r="I59" s="89"/>
    </row>
    <row r="60" spans="1:9" s="49" customFormat="1" ht="31.5" customHeight="1">
      <c r="A60" s="166" t="s">
        <v>170</v>
      </c>
      <c r="B60" s="208" t="s">
        <v>212</v>
      </c>
      <c r="C60" s="167" t="s">
        <v>207</v>
      </c>
      <c r="D60" s="168" t="s">
        <v>179</v>
      </c>
      <c r="E60" s="167" t="s">
        <v>141</v>
      </c>
      <c r="F60" s="168"/>
      <c r="G60" s="209">
        <f>'Прилож №5'!H57+'Прилож №5'!H556</f>
        <v>740.8</v>
      </c>
      <c r="H60" s="170">
        <f>'Прилож №5'!I57+'Прилож №5'!I556</f>
        <v>0</v>
      </c>
      <c r="I60" s="89"/>
    </row>
    <row r="61" spans="1:9" s="49" customFormat="1" ht="15.75">
      <c r="A61" s="183" t="s">
        <v>55</v>
      </c>
      <c r="B61" s="208" t="s">
        <v>212</v>
      </c>
      <c r="C61" s="167" t="s">
        <v>207</v>
      </c>
      <c r="D61" s="168" t="s">
        <v>181</v>
      </c>
      <c r="E61" s="167"/>
      <c r="F61" s="168"/>
      <c r="G61" s="209">
        <f>G62</f>
        <v>160</v>
      </c>
      <c r="H61" s="170">
        <f>H62</f>
        <v>0</v>
      </c>
      <c r="I61" s="89"/>
    </row>
    <row r="62" spans="1:9" s="49" customFormat="1" ht="15.75">
      <c r="A62" s="183" t="s">
        <v>182</v>
      </c>
      <c r="B62" s="208" t="s">
        <v>212</v>
      </c>
      <c r="C62" s="167" t="s">
        <v>207</v>
      </c>
      <c r="D62" s="168" t="s">
        <v>183</v>
      </c>
      <c r="E62" s="167"/>
      <c r="F62" s="168"/>
      <c r="G62" s="209">
        <f>G63</f>
        <v>160</v>
      </c>
      <c r="H62" s="170">
        <f>H63</f>
        <v>0</v>
      </c>
      <c r="I62" s="89"/>
    </row>
    <row r="63" spans="1:9" s="49" customFormat="1" ht="31.5" customHeight="1">
      <c r="A63" s="166" t="s">
        <v>170</v>
      </c>
      <c r="B63" s="208" t="s">
        <v>212</v>
      </c>
      <c r="C63" s="167" t="s">
        <v>207</v>
      </c>
      <c r="D63" s="168" t="s">
        <v>183</v>
      </c>
      <c r="E63" s="167" t="s">
        <v>141</v>
      </c>
      <c r="F63" s="168"/>
      <c r="G63" s="209">
        <f>'Прилож №5'!H60+'Прилож №5'!H559</f>
        <v>160</v>
      </c>
      <c r="H63" s="170">
        <f>'Прилож №5'!I60+'Прилож №5'!I559</f>
        <v>0</v>
      </c>
      <c r="I63" s="122"/>
    </row>
    <row r="64" spans="1:9" s="49" customFormat="1" ht="30">
      <c r="A64" s="166" t="s">
        <v>112</v>
      </c>
      <c r="B64" s="208" t="s">
        <v>212</v>
      </c>
      <c r="C64" s="167" t="s">
        <v>207</v>
      </c>
      <c r="D64" s="168" t="s">
        <v>184</v>
      </c>
      <c r="E64" s="167"/>
      <c r="F64" s="168"/>
      <c r="G64" s="209">
        <f>G65</f>
        <v>105</v>
      </c>
      <c r="H64" s="170">
        <f>H65</f>
        <v>0</v>
      </c>
      <c r="I64" s="89"/>
    </row>
    <row r="65" spans="1:9" s="49" customFormat="1" ht="15.75">
      <c r="A65" s="179" t="s">
        <v>185</v>
      </c>
      <c r="B65" s="210" t="s">
        <v>212</v>
      </c>
      <c r="C65" s="180" t="s">
        <v>207</v>
      </c>
      <c r="D65" s="181" t="s">
        <v>184</v>
      </c>
      <c r="E65" s="180" t="s">
        <v>53</v>
      </c>
      <c r="F65" s="181"/>
      <c r="G65" s="211">
        <f>'Прилож №5'!H62+'Прилож №5'!H561</f>
        <v>105</v>
      </c>
      <c r="H65" s="182">
        <f>'Прилож №5'!I62+'Прилож №5'!I561</f>
        <v>0</v>
      </c>
      <c r="I65" s="89"/>
    </row>
    <row r="66" spans="1:9" s="49" customFormat="1" ht="46.5" customHeight="1">
      <c r="A66" s="172" t="s">
        <v>186</v>
      </c>
      <c r="B66" s="206" t="s">
        <v>212</v>
      </c>
      <c r="C66" s="173" t="s">
        <v>213</v>
      </c>
      <c r="D66" s="174"/>
      <c r="E66" s="173"/>
      <c r="F66" s="175"/>
      <c r="G66" s="235">
        <f>G70+G67</f>
        <v>4024</v>
      </c>
      <c r="H66" s="176">
        <f>H70+H67</f>
        <v>0</v>
      </c>
      <c r="I66" s="89"/>
    </row>
    <row r="67" spans="1:9" s="49" customFormat="1" ht="27" customHeight="1">
      <c r="A67" s="214" t="s">
        <v>151</v>
      </c>
      <c r="B67" s="288" t="s">
        <v>212</v>
      </c>
      <c r="C67" s="197" t="s">
        <v>213</v>
      </c>
      <c r="D67" s="198" t="s">
        <v>152</v>
      </c>
      <c r="E67" s="197"/>
      <c r="F67" s="198"/>
      <c r="G67" s="215">
        <f>G68</f>
        <v>790</v>
      </c>
      <c r="H67" s="199">
        <f>H68</f>
        <v>0</v>
      </c>
      <c r="I67" s="89"/>
    </row>
    <row r="68" spans="1:9" s="49" customFormat="1" ht="27" customHeight="1">
      <c r="A68" s="214" t="s">
        <v>153</v>
      </c>
      <c r="B68" s="288" t="s">
        <v>212</v>
      </c>
      <c r="C68" s="197" t="s">
        <v>213</v>
      </c>
      <c r="D68" s="198" t="s">
        <v>187</v>
      </c>
      <c r="E68" s="197"/>
      <c r="F68" s="198"/>
      <c r="G68" s="215">
        <f>G69</f>
        <v>790</v>
      </c>
      <c r="H68" s="199">
        <f>H69</f>
        <v>0</v>
      </c>
      <c r="I68" s="89"/>
    </row>
    <row r="69" spans="1:9" s="49" customFormat="1" ht="18" customHeight="1">
      <c r="A69" s="214" t="s">
        <v>162</v>
      </c>
      <c r="B69" s="208" t="s">
        <v>212</v>
      </c>
      <c r="C69" s="167" t="s">
        <v>213</v>
      </c>
      <c r="D69" s="168" t="s">
        <v>187</v>
      </c>
      <c r="E69" s="167" t="s">
        <v>140</v>
      </c>
      <c r="F69" s="168"/>
      <c r="G69" s="209">
        <f>'Прилож №5'!H66</f>
        <v>790</v>
      </c>
      <c r="H69" s="170">
        <f>'Прилож №5'!I66</f>
        <v>0</v>
      </c>
      <c r="I69" s="89"/>
    </row>
    <row r="70" spans="1:9" s="49" customFormat="1" ht="15.75">
      <c r="A70" s="183" t="s">
        <v>22</v>
      </c>
      <c r="B70" s="208" t="s">
        <v>212</v>
      </c>
      <c r="C70" s="167" t="s">
        <v>213</v>
      </c>
      <c r="D70" s="168" t="s">
        <v>23</v>
      </c>
      <c r="E70" s="167"/>
      <c r="F70" s="168"/>
      <c r="G70" s="209">
        <f>G71</f>
        <v>3234</v>
      </c>
      <c r="H70" s="170">
        <f>H71</f>
        <v>0</v>
      </c>
      <c r="I70" s="89"/>
    </row>
    <row r="71" spans="1:9" s="49" customFormat="1" ht="30">
      <c r="A71" s="166" t="s">
        <v>125</v>
      </c>
      <c r="B71" s="210" t="s">
        <v>212</v>
      </c>
      <c r="C71" s="167" t="s">
        <v>213</v>
      </c>
      <c r="D71" s="168" t="s">
        <v>188</v>
      </c>
      <c r="E71" s="167"/>
      <c r="F71" s="168" t="s">
        <v>4</v>
      </c>
      <c r="G71" s="209">
        <f>G72</f>
        <v>3234</v>
      </c>
      <c r="H71" s="170">
        <f>H72</f>
        <v>0</v>
      </c>
      <c r="I71" s="89"/>
    </row>
    <row r="72" spans="1:9" s="49" customFormat="1" ht="15.75">
      <c r="A72" s="166" t="s">
        <v>189</v>
      </c>
      <c r="B72" s="210" t="s">
        <v>212</v>
      </c>
      <c r="C72" s="167" t="s">
        <v>213</v>
      </c>
      <c r="D72" s="168" t="s">
        <v>188</v>
      </c>
      <c r="E72" s="167" t="s">
        <v>89</v>
      </c>
      <c r="F72" s="168"/>
      <c r="G72" s="209">
        <f>'Прилож №5'!H69+'Прилож №5'!H410+'Прилож №5'!H284</f>
        <v>3234</v>
      </c>
      <c r="H72" s="170">
        <f>'Прилож №5'!I69</f>
        <v>0</v>
      </c>
      <c r="I72" s="89"/>
    </row>
    <row r="73" spans="1:9" s="49" customFormat="1" ht="15.75">
      <c r="A73" s="178" t="s">
        <v>190</v>
      </c>
      <c r="B73" s="292" t="s">
        <v>212</v>
      </c>
      <c r="C73" s="173" t="s">
        <v>214</v>
      </c>
      <c r="D73" s="174"/>
      <c r="E73" s="173"/>
      <c r="F73" s="174"/>
      <c r="G73" s="207">
        <f aca="true" t="shared" si="6" ref="G73:H75">G74</f>
        <v>210</v>
      </c>
      <c r="H73" s="176">
        <f t="shared" si="6"/>
        <v>0</v>
      </c>
      <c r="I73" s="89"/>
    </row>
    <row r="74" spans="1:9" s="49" customFormat="1" ht="30">
      <c r="A74" s="201" t="s">
        <v>191</v>
      </c>
      <c r="B74" s="210" t="s">
        <v>212</v>
      </c>
      <c r="C74" s="167" t="s">
        <v>214</v>
      </c>
      <c r="D74" s="168" t="s">
        <v>87</v>
      </c>
      <c r="E74" s="167"/>
      <c r="F74" s="168"/>
      <c r="G74" s="209">
        <f t="shared" si="6"/>
        <v>210</v>
      </c>
      <c r="H74" s="170">
        <f t="shared" si="6"/>
        <v>0</v>
      </c>
      <c r="I74" s="89"/>
    </row>
    <row r="75" spans="1:9" s="49" customFormat="1" ht="15.75">
      <c r="A75" s="179" t="s">
        <v>28</v>
      </c>
      <c r="B75" s="210" t="s">
        <v>212</v>
      </c>
      <c r="C75" s="167" t="s">
        <v>214</v>
      </c>
      <c r="D75" s="181" t="s">
        <v>192</v>
      </c>
      <c r="E75" s="167"/>
      <c r="F75" s="168"/>
      <c r="G75" s="209">
        <f t="shared" si="6"/>
        <v>210</v>
      </c>
      <c r="H75" s="170">
        <f t="shared" si="6"/>
        <v>0</v>
      </c>
      <c r="I75" s="89"/>
    </row>
    <row r="76" spans="1:9" s="49" customFormat="1" ht="15.75">
      <c r="A76" s="166" t="s">
        <v>189</v>
      </c>
      <c r="B76" s="210" t="s">
        <v>212</v>
      </c>
      <c r="C76" s="167" t="s">
        <v>214</v>
      </c>
      <c r="D76" s="181" t="s">
        <v>193</v>
      </c>
      <c r="E76" s="167" t="s">
        <v>89</v>
      </c>
      <c r="F76" s="168"/>
      <c r="G76" s="209">
        <f>'Прилож №5'!H73</f>
        <v>210</v>
      </c>
      <c r="H76" s="170">
        <f>'Прилож №5'!I73</f>
        <v>0</v>
      </c>
      <c r="I76" s="89"/>
    </row>
    <row r="77" spans="1:9" s="49" customFormat="1" ht="29.25">
      <c r="A77" s="172" t="s">
        <v>113</v>
      </c>
      <c r="B77" s="206" t="s">
        <v>212</v>
      </c>
      <c r="C77" s="173" t="s">
        <v>211</v>
      </c>
      <c r="D77" s="174"/>
      <c r="E77" s="173"/>
      <c r="F77" s="174"/>
      <c r="G77" s="209">
        <f>G78+G82</f>
        <v>9444.5</v>
      </c>
      <c r="H77" s="170">
        <f>H78+H82</f>
        <v>0</v>
      </c>
      <c r="I77" s="89"/>
    </row>
    <row r="78" spans="1:9" s="49" customFormat="1" ht="32.25" customHeight="1">
      <c r="A78" s="201" t="s">
        <v>191</v>
      </c>
      <c r="B78" s="210" t="s">
        <v>212</v>
      </c>
      <c r="C78" s="167" t="s">
        <v>211</v>
      </c>
      <c r="D78" s="168" t="s">
        <v>87</v>
      </c>
      <c r="E78" s="167"/>
      <c r="F78" s="168"/>
      <c r="G78" s="209">
        <f>G80+G79</f>
        <v>729</v>
      </c>
      <c r="H78" s="170">
        <f>H80</f>
        <v>0</v>
      </c>
      <c r="I78" s="89"/>
    </row>
    <row r="79" spans="1:9" s="49" customFormat="1" ht="18" customHeight="1">
      <c r="A79" s="183" t="s">
        <v>159</v>
      </c>
      <c r="B79" s="210" t="s">
        <v>212</v>
      </c>
      <c r="C79" s="167" t="s">
        <v>211</v>
      </c>
      <c r="D79" s="168" t="s">
        <v>87</v>
      </c>
      <c r="E79" s="180" t="s">
        <v>329</v>
      </c>
      <c r="F79" s="181"/>
      <c r="G79" s="211">
        <f>'Прилож №5'!H446</f>
        <v>108</v>
      </c>
      <c r="H79" s="182"/>
      <c r="I79" s="89"/>
    </row>
    <row r="80" spans="1:9" s="49" customFormat="1" ht="14.25" customHeight="1">
      <c r="A80" s="179" t="s">
        <v>28</v>
      </c>
      <c r="B80" s="210" t="s">
        <v>212</v>
      </c>
      <c r="C80" s="180" t="s">
        <v>211</v>
      </c>
      <c r="D80" s="181" t="s">
        <v>193</v>
      </c>
      <c r="E80" s="180"/>
      <c r="F80" s="181"/>
      <c r="G80" s="211">
        <f>G81</f>
        <v>621</v>
      </c>
      <c r="H80" s="182">
        <f>H81</f>
        <v>0</v>
      </c>
      <c r="I80" s="89"/>
    </row>
    <row r="81" spans="1:9" s="49" customFormat="1" ht="19.5" customHeight="1">
      <c r="A81" s="201" t="s">
        <v>189</v>
      </c>
      <c r="B81" s="210" t="s">
        <v>212</v>
      </c>
      <c r="C81" s="180" t="s">
        <v>211</v>
      </c>
      <c r="D81" s="181" t="s">
        <v>193</v>
      </c>
      <c r="E81" s="180" t="s">
        <v>89</v>
      </c>
      <c r="F81" s="181"/>
      <c r="G81" s="211">
        <f>'Прилож №5'!H77</f>
        <v>621</v>
      </c>
      <c r="H81" s="182">
        <f>'Прилож №5'!I77</f>
        <v>0</v>
      </c>
      <c r="I81" s="122"/>
    </row>
    <row r="82" spans="1:9" s="49" customFormat="1" ht="13.5" customHeight="1">
      <c r="A82" s="183" t="s">
        <v>143</v>
      </c>
      <c r="B82" s="208" t="s">
        <v>212</v>
      </c>
      <c r="C82" s="167" t="s">
        <v>211</v>
      </c>
      <c r="D82" s="168" t="s">
        <v>144</v>
      </c>
      <c r="E82" s="167"/>
      <c r="F82" s="169"/>
      <c r="G82" s="203">
        <f>G83+G85</f>
        <v>8715.5</v>
      </c>
      <c r="H82" s="170">
        <f>H83</f>
        <v>0</v>
      </c>
      <c r="I82" s="122"/>
    </row>
    <row r="83" spans="1:9" s="49" customFormat="1" ht="42" customHeight="1">
      <c r="A83" s="166" t="s">
        <v>310</v>
      </c>
      <c r="B83" s="208" t="s">
        <v>212</v>
      </c>
      <c r="C83" s="167" t="s">
        <v>211</v>
      </c>
      <c r="D83" s="168" t="s">
        <v>311</v>
      </c>
      <c r="E83" s="167"/>
      <c r="F83" s="169"/>
      <c r="G83" s="203">
        <f>G84</f>
        <v>7885</v>
      </c>
      <c r="H83" s="170">
        <f>H84</f>
        <v>0</v>
      </c>
      <c r="I83" s="122"/>
    </row>
    <row r="84" spans="1:9" s="49" customFormat="1" ht="15" customHeight="1">
      <c r="A84" s="183" t="s">
        <v>159</v>
      </c>
      <c r="B84" s="208" t="s">
        <v>212</v>
      </c>
      <c r="C84" s="167" t="s">
        <v>211</v>
      </c>
      <c r="D84" s="168" t="s">
        <v>311</v>
      </c>
      <c r="E84" s="167" t="s">
        <v>329</v>
      </c>
      <c r="F84" s="169"/>
      <c r="G84" s="203">
        <f>'Прилож №5'!H80+'Прилож №5'!H565</f>
        <v>7885</v>
      </c>
      <c r="H84" s="170">
        <f>'Прилож №5'!I80</f>
        <v>0</v>
      </c>
      <c r="I84" s="122"/>
    </row>
    <row r="85" spans="1:9" s="49" customFormat="1" ht="43.5" customHeight="1">
      <c r="A85" s="48" t="s">
        <v>350</v>
      </c>
      <c r="B85" s="208" t="s">
        <v>212</v>
      </c>
      <c r="C85" s="167" t="s">
        <v>211</v>
      </c>
      <c r="D85" s="168" t="s">
        <v>349</v>
      </c>
      <c r="E85" s="167"/>
      <c r="F85" s="169"/>
      <c r="G85" s="203">
        <f>G86+G87</f>
        <v>830.5</v>
      </c>
      <c r="H85" s="170"/>
      <c r="I85" s="122"/>
    </row>
    <row r="86" spans="1:9" s="49" customFormat="1" ht="15" customHeight="1">
      <c r="A86" s="28" t="s">
        <v>159</v>
      </c>
      <c r="B86" s="208" t="s">
        <v>212</v>
      </c>
      <c r="C86" s="167" t="s">
        <v>211</v>
      </c>
      <c r="D86" s="168" t="s">
        <v>349</v>
      </c>
      <c r="E86" s="167" t="s">
        <v>329</v>
      </c>
      <c r="F86" s="169"/>
      <c r="G86" s="203">
        <f>'Прилож №5'!H82</f>
        <v>500</v>
      </c>
      <c r="H86" s="170"/>
      <c r="I86" s="122"/>
    </row>
    <row r="87" spans="1:9" s="49" customFormat="1" ht="15" customHeight="1" thickBot="1">
      <c r="A87" s="166" t="s">
        <v>189</v>
      </c>
      <c r="B87" s="208" t="s">
        <v>212</v>
      </c>
      <c r="C87" s="167" t="s">
        <v>211</v>
      </c>
      <c r="D87" s="168" t="s">
        <v>349</v>
      </c>
      <c r="E87" s="321" t="s">
        <v>89</v>
      </c>
      <c r="F87" s="294"/>
      <c r="G87" s="322">
        <f>'Прилож №5'!H288</f>
        <v>330.5</v>
      </c>
      <c r="H87" s="323"/>
      <c r="I87" s="122"/>
    </row>
    <row r="88" spans="1:9" s="49" customFormat="1" ht="16.5" thickBot="1">
      <c r="A88" s="185" t="s">
        <v>67</v>
      </c>
      <c r="B88" s="286" t="s">
        <v>208</v>
      </c>
      <c r="C88" s="186" t="s">
        <v>133</v>
      </c>
      <c r="D88" s="187"/>
      <c r="E88" s="186"/>
      <c r="F88" s="212"/>
      <c r="G88" s="202">
        <f>G89+G93+G98+G102</f>
        <v>46591</v>
      </c>
      <c r="H88" s="188">
        <f>H89+H93+H98+H102</f>
        <v>0</v>
      </c>
      <c r="I88" s="89"/>
    </row>
    <row r="89" spans="1:9" s="3" customFormat="1" ht="15">
      <c r="A89" s="177" t="s">
        <v>194</v>
      </c>
      <c r="B89" s="290" t="s">
        <v>208</v>
      </c>
      <c r="C89" s="220" t="s">
        <v>215</v>
      </c>
      <c r="D89" s="163"/>
      <c r="E89" s="220"/>
      <c r="F89" s="164"/>
      <c r="G89" s="280">
        <f aca="true" t="shared" si="7" ref="G89:H91">G90</f>
        <v>155</v>
      </c>
      <c r="H89" s="199">
        <f t="shared" si="7"/>
        <v>0</v>
      </c>
      <c r="I89" s="89"/>
    </row>
    <row r="90" spans="1:9" s="49" customFormat="1" ht="15.75">
      <c r="A90" s="183" t="s">
        <v>301</v>
      </c>
      <c r="B90" s="208" t="s">
        <v>208</v>
      </c>
      <c r="C90" s="167" t="s">
        <v>215</v>
      </c>
      <c r="D90" s="168" t="s">
        <v>302</v>
      </c>
      <c r="E90" s="173"/>
      <c r="F90" s="169"/>
      <c r="G90" s="203">
        <f t="shared" si="7"/>
        <v>155</v>
      </c>
      <c r="H90" s="170">
        <f t="shared" si="7"/>
        <v>0</v>
      </c>
      <c r="I90" s="89"/>
    </row>
    <row r="91" spans="1:9" s="49" customFormat="1" ht="15.75">
      <c r="A91" s="183" t="s">
        <v>303</v>
      </c>
      <c r="B91" s="208" t="s">
        <v>208</v>
      </c>
      <c r="C91" s="167" t="s">
        <v>215</v>
      </c>
      <c r="D91" s="168" t="s">
        <v>304</v>
      </c>
      <c r="E91" s="173"/>
      <c r="F91" s="169"/>
      <c r="G91" s="203">
        <f t="shared" si="7"/>
        <v>155</v>
      </c>
      <c r="H91" s="170">
        <f t="shared" si="7"/>
        <v>0</v>
      </c>
      <c r="I91" s="89"/>
    </row>
    <row r="92" spans="1:9" s="2" customFormat="1" ht="15.75" customHeight="1">
      <c r="A92" s="183" t="s">
        <v>159</v>
      </c>
      <c r="B92" s="208" t="s">
        <v>208</v>
      </c>
      <c r="C92" s="167" t="s">
        <v>215</v>
      </c>
      <c r="D92" s="168" t="s">
        <v>304</v>
      </c>
      <c r="E92" s="167" t="s">
        <v>329</v>
      </c>
      <c r="F92" s="169"/>
      <c r="G92" s="203">
        <f>'Прилож №5'!H87</f>
        <v>155</v>
      </c>
      <c r="H92" s="170">
        <f>'Прилож №5'!I87</f>
        <v>0</v>
      </c>
      <c r="I92" s="89"/>
    </row>
    <row r="93" spans="1:9" s="3" customFormat="1" ht="15.75" customHeight="1">
      <c r="A93" s="178" t="s">
        <v>103</v>
      </c>
      <c r="B93" s="206" t="s">
        <v>208</v>
      </c>
      <c r="C93" s="173" t="s">
        <v>216</v>
      </c>
      <c r="D93" s="174"/>
      <c r="E93" s="173"/>
      <c r="F93" s="175"/>
      <c r="G93" s="235">
        <f>G94</f>
        <v>9099</v>
      </c>
      <c r="H93" s="176">
        <f>H94</f>
        <v>0</v>
      </c>
      <c r="I93" s="123"/>
    </row>
    <row r="94" spans="1:9" s="2" customFormat="1" ht="15.75" customHeight="1">
      <c r="A94" s="183" t="s">
        <v>195</v>
      </c>
      <c r="B94" s="208" t="s">
        <v>208</v>
      </c>
      <c r="C94" s="167" t="s">
        <v>216</v>
      </c>
      <c r="D94" s="168" t="s">
        <v>196</v>
      </c>
      <c r="E94" s="167"/>
      <c r="F94" s="169"/>
      <c r="G94" s="203">
        <f aca="true" t="shared" si="8" ref="G94:H96">G95</f>
        <v>9099</v>
      </c>
      <c r="H94" s="170">
        <f t="shared" si="8"/>
        <v>0</v>
      </c>
      <c r="I94" s="89"/>
    </row>
    <row r="95" spans="1:9" s="2" customFormat="1" ht="15.75" customHeight="1">
      <c r="A95" s="183" t="s">
        <v>197</v>
      </c>
      <c r="B95" s="208" t="s">
        <v>208</v>
      </c>
      <c r="C95" s="167" t="s">
        <v>216</v>
      </c>
      <c r="D95" s="168" t="s">
        <v>198</v>
      </c>
      <c r="E95" s="167"/>
      <c r="F95" s="169"/>
      <c r="G95" s="203">
        <f t="shared" si="8"/>
        <v>9099</v>
      </c>
      <c r="H95" s="170">
        <f t="shared" si="8"/>
        <v>0</v>
      </c>
      <c r="I95" s="89"/>
    </row>
    <row r="96" spans="1:9" s="2" customFormat="1" ht="40.5" customHeight="1">
      <c r="A96" s="166" t="s">
        <v>199</v>
      </c>
      <c r="B96" s="208" t="s">
        <v>208</v>
      </c>
      <c r="C96" s="167" t="s">
        <v>216</v>
      </c>
      <c r="D96" s="168" t="s">
        <v>200</v>
      </c>
      <c r="E96" s="167"/>
      <c r="F96" s="169"/>
      <c r="G96" s="203">
        <f t="shared" si="8"/>
        <v>9099</v>
      </c>
      <c r="H96" s="170">
        <f t="shared" si="8"/>
        <v>0</v>
      </c>
      <c r="I96" s="89"/>
    </row>
    <row r="97" spans="1:9" s="2" customFormat="1" ht="15.75" customHeight="1">
      <c r="A97" s="171" t="s">
        <v>201</v>
      </c>
      <c r="B97" s="208" t="s">
        <v>208</v>
      </c>
      <c r="C97" s="167" t="s">
        <v>216</v>
      </c>
      <c r="D97" s="168" t="s">
        <v>200</v>
      </c>
      <c r="E97" s="167" t="s">
        <v>90</v>
      </c>
      <c r="F97" s="169"/>
      <c r="G97" s="203">
        <f>'Прилож №5'!H92</f>
        <v>9099</v>
      </c>
      <c r="H97" s="170">
        <f>'Прилож №5'!I92</f>
        <v>0</v>
      </c>
      <c r="I97" s="89"/>
    </row>
    <row r="98" spans="1:9" s="3" customFormat="1" ht="15.75" customHeight="1">
      <c r="A98" s="177" t="s">
        <v>104</v>
      </c>
      <c r="B98" s="206" t="s">
        <v>208</v>
      </c>
      <c r="C98" s="173" t="s">
        <v>213</v>
      </c>
      <c r="D98" s="174"/>
      <c r="E98" s="173"/>
      <c r="F98" s="174"/>
      <c r="G98" s="204">
        <f aca="true" t="shared" si="9" ref="G98:H100">G99</f>
        <v>5776</v>
      </c>
      <c r="H98" s="176">
        <f t="shared" si="9"/>
        <v>0</v>
      </c>
      <c r="I98" s="89"/>
    </row>
    <row r="99" spans="1:9" s="2" customFormat="1" ht="15.75" customHeight="1">
      <c r="A99" s="171" t="s">
        <v>104</v>
      </c>
      <c r="B99" s="208" t="s">
        <v>208</v>
      </c>
      <c r="C99" s="167" t="s">
        <v>213</v>
      </c>
      <c r="D99" s="168" t="s">
        <v>217</v>
      </c>
      <c r="E99" s="167"/>
      <c r="F99" s="168"/>
      <c r="G99" s="205">
        <f t="shared" si="9"/>
        <v>5776</v>
      </c>
      <c r="H99" s="170">
        <f t="shared" si="9"/>
        <v>0</v>
      </c>
      <c r="I99" s="89"/>
    </row>
    <row r="100" spans="1:9" s="2" customFormat="1" ht="15.75" customHeight="1">
      <c r="A100" s="171" t="s">
        <v>218</v>
      </c>
      <c r="B100" s="208" t="s">
        <v>208</v>
      </c>
      <c r="C100" s="167" t="s">
        <v>213</v>
      </c>
      <c r="D100" s="168" t="s">
        <v>219</v>
      </c>
      <c r="E100" s="167"/>
      <c r="F100" s="168"/>
      <c r="G100" s="205">
        <f t="shared" si="9"/>
        <v>5776</v>
      </c>
      <c r="H100" s="170">
        <f t="shared" si="9"/>
        <v>0</v>
      </c>
      <c r="I100" s="89"/>
    </row>
    <row r="101" spans="1:9" s="2" customFormat="1" ht="15.75" customHeight="1">
      <c r="A101" s="171" t="s">
        <v>201</v>
      </c>
      <c r="B101" s="208" t="s">
        <v>208</v>
      </c>
      <c r="C101" s="167" t="s">
        <v>213</v>
      </c>
      <c r="D101" s="168" t="s">
        <v>220</v>
      </c>
      <c r="E101" s="167" t="s">
        <v>90</v>
      </c>
      <c r="F101" s="168"/>
      <c r="G101" s="205">
        <f>'Прилож №5'!H96</f>
        <v>5776</v>
      </c>
      <c r="H101" s="170">
        <f>'Прилож №5'!I96</f>
        <v>0</v>
      </c>
      <c r="I101" s="89"/>
    </row>
    <row r="102" spans="1:9" s="24" customFormat="1" ht="15.75">
      <c r="A102" s="177" t="s">
        <v>68</v>
      </c>
      <c r="B102" s="206" t="s">
        <v>208</v>
      </c>
      <c r="C102" s="173" t="s">
        <v>210</v>
      </c>
      <c r="D102" s="174"/>
      <c r="E102" s="173"/>
      <c r="F102" s="174"/>
      <c r="G102" s="207">
        <f>G105+G103+G107</f>
        <v>31561</v>
      </c>
      <c r="H102" s="176">
        <f>H105+H103</f>
        <v>0</v>
      </c>
      <c r="I102" s="89"/>
    </row>
    <row r="103" spans="1:9" s="49" customFormat="1" ht="30">
      <c r="A103" s="166" t="s">
        <v>105</v>
      </c>
      <c r="B103" s="208" t="s">
        <v>208</v>
      </c>
      <c r="C103" s="167" t="s">
        <v>210</v>
      </c>
      <c r="D103" s="168" t="s">
        <v>99</v>
      </c>
      <c r="E103" s="167"/>
      <c r="F103" s="168"/>
      <c r="G103" s="209">
        <f>G104</f>
        <v>4700</v>
      </c>
      <c r="H103" s="170">
        <f>H104</f>
        <v>0</v>
      </c>
      <c r="I103" s="89"/>
    </row>
    <row r="104" spans="1:9" s="49" customFormat="1" ht="15.75">
      <c r="A104" s="171" t="s">
        <v>159</v>
      </c>
      <c r="B104" s="208" t="s">
        <v>208</v>
      </c>
      <c r="C104" s="167" t="s">
        <v>210</v>
      </c>
      <c r="D104" s="168" t="s">
        <v>99</v>
      </c>
      <c r="E104" s="167" t="s">
        <v>329</v>
      </c>
      <c r="F104" s="168"/>
      <c r="G104" s="209">
        <f>'Прилож №5'!H99</f>
        <v>4700</v>
      </c>
      <c r="H104" s="170">
        <f>'Прилож №5'!I99</f>
        <v>0</v>
      </c>
      <c r="I104" s="89"/>
    </row>
    <row r="105" spans="1:9" s="49" customFormat="1" ht="30">
      <c r="A105" s="166" t="s">
        <v>115</v>
      </c>
      <c r="B105" s="208" t="s">
        <v>208</v>
      </c>
      <c r="C105" s="167" t="s">
        <v>210</v>
      </c>
      <c r="D105" s="168" t="s">
        <v>79</v>
      </c>
      <c r="E105" s="167"/>
      <c r="F105" s="168"/>
      <c r="G105" s="209">
        <f>G106</f>
        <v>19972</v>
      </c>
      <c r="H105" s="170">
        <f>H106</f>
        <v>0</v>
      </c>
      <c r="I105" s="89"/>
    </row>
    <row r="106" spans="1:9" s="49" customFormat="1" ht="15.75">
      <c r="A106" s="236" t="s">
        <v>159</v>
      </c>
      <c r="B106" s="210" t="s">
        <v>208</v>
      </c>
      <c r="C106" s="180" t="s">
        <v>210</v>
      </c>
      <c r="D106" s="181" t="s">
        <v>79</v>
      </c>
      <c r="E106" s="180" t="s">
        <v>329</v>
      </c>
      <c r="F106" s="181"/>
      <c r="G106" s="211">
        <f>'Прилож №5'!H101</f>
        <v>19972</v>
      </c>
      <c r="H106" s="182">
        <f>'Прилож №5'!I101</f>
        <v>0</v>
      </c>
      <c r="I106" s="89"/>
    </row>
    <row r="107" spans="1:9" s="49" customFormat="1" ht="15.75">
      <c r="A107" s="273" t="s">
        <v>143</v>
      </c>
      <c r="B107" s="208" t="s">
        <v>208</v>
      </c>
      <c r="C107" s="167" t="s">
        <v>210</v>
      </c>
      <c r="D107" s="168" t="s">
        <v>144</v>
      </c>
      <c r="E107" s="167"/>
      <c r="F107" s="169"/>
      <c r="G107" s="203">
        <f>G108</f>
        <v>6889</v>
      </c>
      <c r="H107" s="170"/>
      <c r="I107" s="89"/>
    </row>
    <row r="108" spans="1:9" s="49" customFormat="1" ht="45">
      <c r="A108" s="327" t="s">
        <v>381</v>
      </c>
      <c r="B108" s="208" t="s">
        <v>208</v>
      </c>
      <c r="C108" s="167" t="s">
        <v>210</v>
      </c>
      <c r="D108" s="168" t="s">
        <v>382</v>
      </c>
      <c r="E108" s="167"/>
      <c r="F108" s="169"/>
      <c r="G108" s="203">
        <f>G109</f>
        <v>6889</v>
      </c>
      <c r="H108" s="170"/>
      <c r="I108" s="89"/>
    </row>
    <row r="109" spans="1:9" s="49" customFormat="1" ht="15.75">
      <c r="A109" s="273" t="s">
        <v>159</v>
      </c>
      <c r="B109" s="208" t="s">
        <v>208</v>
      </c>
      <c r="C109" s="167" t="s">
        <v>210</v>
      </c>
      <c r="D109" s="168" t="s">
        <v>382</v>
      </c>
      <c r="E109" s="167" t="s">
        <v>329</v>
      </c>
      <c r="F109" s="169"/>
      <c r="G109" s="203">
        <f>'Прилож №5'!H104</f>
        <v>6889</v>
      </c>
      <c r="H109" s="170"/>
      <c r="I109" s="89"/>
    </row>
    <row r="110" spans="1:9" s="49" customFormat="1" ht="16.5" thickBot="1">
      <c r="A110" s="218" t="s">
        <v>24</v>
      </c>
      <c r="B110" s="289" t="s">
        <v>221</v>
      </c>
      <c r="C110" s="219" t="s">
        <v>133</v>
      </c>
      <c r="D110" s="239"/>
      <c r="E110" s="219"/>
      <c r="F110" s="224"/>
      <c r="G110" s="281">
        <f>G111+G134+G149</f>
        <v>558484.5</v>
      </c>
      <c r="H110" s="213">
        <f>H111+H134+H149</f>
        <v>41358.7</v>
      </c>
      <c r="I110" s="89"/>
    </row>
    <row r="111" spans="1:9" s="49" customFormat="1" ht="15.75">
      <c r="A111" s="309" t="s">
        <v>72</v>
      </c>
      <c r="B111" s="310" t="s">
        <v>221</v>
      </c>
      <c r="C111" s="230" t="s">
        <v>206</v>
      </c>
      <c r="D111" s="303" t="s">
        <v>49</v>
      </c>
      <c r="E111" s="230" t="s">
        <v>51</v>
      </c>
      <c r="F111" s="303"/>
      <c r="G111" s="311">
        <f>G123+G126+G129+G119+G112</f>
        <v>135005.80000000002</v>
      </c>
      <c r="H111" s="311">
        <f>H123+H126+H129+H119+H112</f>
        <v>36124</v>
      </c>
      <c r="I111" s="89"/>
    </row>
    <row r="112" spans="1:9" s="49" customFormat="1" ht="45" customHeight="1">
      <c r="A112" s="374" t="s">
        <v>413</v>
      </c>
      <c r="B112" s="312" t="s">
        <v>221</v>
      </c>
      <c r="C112" s="312" t="s">
        <v>206</v>
      </c>
      <c r="D112" s="312" t="s">
        <v>416</v>
      </c>
      <c r="E112" s="312"/>
      <c r="F112" s="312"/>
      <c r="G112" s="373">
        <f>G113+G116</f>
        <v>46124</v>
      </c>
      <c r="H112" s="373">
        <f>H113+H116</f>
        <v>36124</v>
      </c>
      <c r="I112" s="89"/>
    </row>
    <row r="113" spans="1:9" s="49" customFormat="1" ht="75">
      <c r="A113" s="374" t="s">
        <v>414</v>
      </c>
      <c r="B113" s="312" t="s">
        <v>221</v>
      </c>
      <c r="C113" s="312" t="s">
        <v>206</v>
      </c>
      <c r="D113" s="312" t="s">
        <v>417</v>
      </c>
      <c r="E113" s="312"/>
      <c r="F113" s="312"/>
      <c r="G113" s="373">
        <f>G114</f>
        <v>18062</v>
      </c>
      <c r="H113" s="373">
        <f>H114</f>
        <v>18062</v>
      </c>
      <c r="I113" s="89"/>
    </row>
    <row r="114" spans="1:9" s="49" customFormat="1" ht="30">
      <c r="A114" s="374" t="s">
        <v>415</v>
      </c>
      <c r="B114" s="312" t="s">
        <v>221</v>
      </c>
      <c r="C114" s="312" t="s">
        <v>206</v>
      </c>
      <c r="D114" s="312" t="s">
        <v>418</v>
      </c>
      <c r="E114" s="312"/>
      <c r="F114" s="312"/>
      <c r="G114" s="373">
        <f>G115</f>
        <v>18062</v>
      </c>
      <c r="H114" s="373">
        <f>H115</f>
        <v>18062</v>
      </c>
      <c r="I114" s="89"/>
    </row>
    <row r="115" spans="1:9" s="49" customFormat="1" ht="15.75">
      <c r="A115" s="372" t="s">
        <v>201</v>
      </c>
      <c r="B115" s="312" t="s">
        <v>221</v>
      </c>
      <c r="C115" s="312" t="s">
        <v>206</v>
      </c>
      <c r="D115" s="312" t="s">
        <v>418</v>
      </c>
      <c r="E115" s="312" t="s">
        <v>90</v>
      </c>
      <c r="F115" s="312"/>
      <c r="G115" s="373">
        <f>'Прилож №5'!H110</f>
        <v>18062</v>
      </c>
      <c r="H115" s="373">
        <f>'Прилож №5'!I110</f>
        <v>18062</v>
      </c>
      <c r="I115" s="89"/>
    </row>
    <row r="116" spans="1:9" s="49" customFormat="1" ht="45">
      <c r="A116" s="327" t="s">
        <v>401</v>
      </c>
      <c r="B116" s="328" t="s">
        <v>221</v>
      </c>
      <c r="C116" s="312" t="s">
        <v>206</v>
      </c>
      <c r="D116" s="331" t="s">
        <v>404</v>
      </c>
      <c r="E116" s="167"/>
      <c r="F116" s="169"/>
      <c r="G116" s="203">
        <f>G117</f>
        <v>28062</v>
      </c>
      <c r="H116" s="170">
        <f>H117</f>
        <v>18062</v>
      </c>
      <c r="I116" s="89"/>
    </row>
    <row r="117" spans="1:9" s="49" customFormat="1" ht="30">
      <c r="A117" s="327" t="s">
        <v>402</v>
      </c>
      <c r="B117" s="328" t="s">
        <v>221</v>
      </c>
      <c r="C117" s="312" t="s">
        <v>206</v>
      </c>
      <c r="D117" s="331" t="s">
        <v>406</v>
      </c>
      <c r="E117" s="167"/>
      <c r="F117" s="169"/>
      <c r="G117" s="203">
        <f>G118</f>
        <v>28062</v>
      </c>
      <c r="H117" s="170">
        <f>H118</f>
        <v>18062</v>
      </c>
      <c r="I117" s="89"/>
    </row>
    <row r="118" spans="1:9" s="49" customFormat="1" ht="15.75">
      <c r="A118" s="273" t="s">
        <v>403</v>
      </c>
      <c r="B118" s="328" t="s">
        <v>221</v>
      </c>
      <c r="C118" s="312" t="s">
        <v>206</v>
      </c>
      <c r="D118" s="331" t="s">
        <v>406</v>
      </c>
      <c r="E118" s="167" t="s">
        <v>405</v>
      </c>
      <c r="F118" s="169"/>
      <c r="G118" s="203">
        <f>'Прилож №5'!H113</f>
        <v>28062</v>
      </c>
      <c r="H118" s="170">
        <f>'Прилож №5'!I113</f>
        <v>18062</v>
      </c>
      <c r="I118" s="89"/>
    </row>
    <row r="119" spans="1:9" s="49" customFormat="1" ht="30">
      <c r="A119" s="327" t="s">
        <v>229</v>
      </c>
      <c r="B119" s="328" t="s">
        <v>221</v>
      </c>
      <c r="C119" s="312" t="s">
        <v>206</v>
      </c>
      <c r="D119" s="331" t="s">
        <v>74</v>
      </c>
      <c r="E119" s="167"/>
      <c r="F119" s="175"/>
      <c r="G119" s="329">
        <f>G120</f>
        <v>4500</v>
      </c>
      <c r="H119" s="176"/>
      <c r="I119" s="89"/>
    </row>
    <row r="120" spans="1:9" s="49" customFormat="1" ht="60">
      <c r="A120" s="214" t="s">
        <v>230</v>
      </c>
      <c r="B120" s="288" t="s">
        <v>221</v>
      </c>
      <c r="C120" s="197" t="s">
        <v>206</v>
      </c>
      <c r="D120" s="198" t="s">
        <v>231</v>
      </c>
      <c r="E120" s="197"/>
      <c r="F120" s="163"/>
      <c r="G120" s="306">
        <f>G121</f>
        <v>4500</v>
      </c>
      <c r="H120" s="221"/>
      <c r="I120" s="89"/>
    </row>
    <row r="121" spans="1:9" s="49" customFormat="1" ht="30">
      <c r="A121" s="214" t="s">
        <v>279</v>
      </c>
      <c r="B121" s="288" t="s">
        <v>221</v>
      </c>
      <c r="C121" s="197" t="s">
        <v>206</v>
      </c>
      <c r="D121" s="198" t="s">
        <v>280</v>
      </c>
      <c r="E121" s="197"/>
      <c r="F121" s="163"/>
      <c r="G121" s="306">
        <f>G122</f>
        <v>4500</v>
      </c>
      <c r="H121" s="221"/>
      <c r="I121" s="89"/>
    </row>
    <row r="122" spans="1:9" s="49" customFormat="1" ht="15.75">
      <c r="A122" s="214" t="s">
        <v>232</v>
      </c>
      <c r="B122" s="288" t="s">
        <v>221</v>
      </c>
      <c r="C122" s="197" t="s">
        <v>206</v>
      </c>
      <c r="D122" s="198" t="s">
        <v>280</v>
      </c>
      <c r="E122" s="197" t="s">
        <v>69</v>
      </c>
      <c r="F122" s="163"/>
      <c r="G122" s="306">
        <f>'Прилож №5'!H114</f>
        <v>4500</v>
      </c>
      <c r="H122" s="221"/>
      <c r="I122" s="89"/>
    </row>
    <row r="123" spans="1:9" s="49" customFormat="1" ht="15.75">
      <c r="A123" s="183" t="s">
        <v>25</v>
      </c>
      <c r="B123" s="288" t="s">
        <v>221</v>
      </c>
      <c r="C123" s="197" t="s">
        <v>206</v>
      </c>
      <c r="D123" s="198" t="s">
        <v>26</v>
      </c>
      <c r="E123" s="197"/>
      <c r="F123" s="198"/>
      <c r="G123" s="215">
        <f>G124</f>
        <v>83951.80000000002</v>
      </c>
      <c r="H123" s="199">
        <f>H124</f>
        <v>0</v>
      </c>
      <c r="I123" s="89"/>
    </row>
    <row r="124" spans="1:9" s="49" customFormat="1" ht="15.75">
      <c r="A124" s="171" t="s">
        <v>222</v>
      </c>
      <c r="B124" s="288" t="s">
        <v>221</v>
      </c>
      <c r="C124" s="197" t="s">
        <v>206</v>
      </c>
      <c r="D124" s="198" t="s">
        <v>223</v>
      </c>
      <c r="E124" s="197"/>
      <c r="F124" s="198"/>
      <c r="G124" s="215">
        <f>G125</f>
        <v>83951.80000000002</v>
      </c>
      <c r="H124" s="199">
        <f>H125</f>
        <v>0</v>
      </c>
      <c r="I124" s="89"/>
    </row>
    <row r="125" spans="1:9" s="49" customFormat="1" ht="15.75">
      <c r="A125" s="171" t="s">
        <v>159</v>
      </c>
      <c r="B125" s="208" t="s">
        <v>221</v>
      </c>
      <c r="C125" s="197" t="s">
        <v>206</v>
      </c>
      <c r="D125" s="198" t="s">
        <v>223</v>
      </c>
      <c r="E125" s="197" t="s">
        <v>329</v>
      </c>
      <c r="F125" s="198"/>
      <c r="G125" s="215">
        <f>'Прилож №5'!H120+'Прилож №5'!H529</f>
        <v>83951.80000000002</v>
      </c>
      <c r="H125" s="199">
        <f>'Прилож №5'!I120</f>
        <v>0</v>
      </c>
      <c r="I125" s="122"/>
    </row>
    <row r="126" spans="1:9" s="49" customFormat="1" ht="15.75">
      <c r="A126" s="183" t="s">
        <v>273</v>
      </c>
      <c r="B126" s="208" t="s">
        <v>221</v>
      </c>
      <c r="C126" s="197" t="s">
        <v>206</v>
      </c>
      <c r="D126" s="198" t="s">
        <v>93</v>
      </c>
      <c r="E126" s="197"/>
      <c r="F126" s="198"/>
      <c r="G126" s="215">
        <f>G127</f>
        <v>0</v>
      </c>
      <c r="H126" s="199">
        <f>H127</f>
        <v>0</v>
      </c>
      <c r="I126" s="89"/>
    </row>
    <row r="127" spans="1:9" s="49" customFormat="1" ht="45">
      <c r="A127" s="166" t="s">
        <v>422</v>
      </c>
      <c r="B127" s="208" t="s">
        <v>221</v>
      </c>
      <c r="C127" s="197" t="s">
        <v>206</v>
      </c>
      <c r="D127" s="198" t="s">
        <v>282</v>
      </c>
      <c r="E127" s="197"/>
      <c r="F127" s="198"/>
      <c r="G127" s="215">
        <f>G128</f>
        <v>0</v>
      </c>
      <c r="H127" s="199">
        <f>H128</f>
        <v>0</v>
      </c>
      <c r="I127" s="122"/>
    </row>
    <row r="128" spans="1:9" s="49" customFormat="1" ht="15.75">
      <c r="A128" s="171" t="s">
        <v>162</v>
      </c>
      <c r="B128" s="208" t="s">
        <v>221</v>
      </c>
      <c r="C128" s="197" t="s">
        <v>206</v>
      </c>
      <c r="D128" s="198" t="s">
        <v>282</v>
      </c>
      <c r="E128" s="197" t="s">
        <v>140</v>
      </c>
      <c r="F128" s="198"/>
      <c r="G128" s="215">
        <f>'Прилож №5'!H532</f>
        <v>0</v>
      </c>
      <c r="H128" s="199">
        <f>'Прилож №5'!I532</f>
        <v>0</v>
      </c>
      <c r="I128" s="89"/>
    </row>
    <row r="129" spans="1:9" s="49" customFormat="1" ht="15.75">
      <c r="A129" s="183" t="s">
        <v>143</v>
      </c>
      <c r="B129" s="208" t="s">
        <v>221</v>
      </c>
      <c r="C129" s="197" t="s">
        <v>206</v>
      </c>
      <c r="D129" s="198" t="s">
        <v>144</v>
      </c>
      <c r="E129" s="197"/>
      <c r="F129" s="198"/>
      <c r="G129" s="215">
        <f>G130+G132</f>
        <v>430</v>
      </c>
      <c r="H129" s="199"/>
      <c r="I129" s="89"/>
    </row>
    <row r="130" spans="1:9" s="49" customFormat="1" ht="30">
      <c r="A130" s="166" t="s">
        <v>315</v>
      </c>
      <c r="B130" s="208" t="s">
        <v>221</v>
      </c>
      <c r="C130" s="197" t="s">
        <v>206</v>
      </c>
      <c r="D130" s="198" t="s">
        <v>314</v>
      </c>
      <c r="E130" s="197"/>
      <c r="F130" s="198"/>
      <c r="G130" s="215">
        <f>G131</f>
        <v>0</v>
      </c>
      <c r="H130" s="199"/>
      <c r="I130" s="89"/>
    </row>
    <row r="131" spans="1:9" s="49" customFormat="1" ht="15.75">
      <c r="A131" s="171" t="s">
        <v>159</v>
      </c>
      <c r="B131" s="208" t="s">
        <v>221</v>
      </c>
      <c r="C131" s="197" t="s">
        <v>206</v>
      </c>
      <c r="D131" s="198" t="s">
        <v>314</v>
      </c>
      <c r="E131" s="197" t="s">
        <v>329</v>
      </c>
      <c r="F131" s="198"/>
      <c r="G131" s="215">
        <f>'Прилож №5'!H123</f>
        <v>0</v>
      </c>
      <c r="H131" s="199"/>
      <c r="I131" s="89"/>
    </row>
    <row r="132" spans="1:9" s="49" customFormat="1" ht="26.25">
      <c r="A132" s="48" t="s">
        <v>345</v>
      </c>
      <c r="B132" s="208" t="s">
        <v>221</v>
      </c>
      <c r="C132" s="197" t="s">
        <v>206</v>
      </c>
      <c r="D132" s="198" t="s">
        <v>346</v>
      </c>
      <c r="E132" s="197"/>
      <c r="F132" s="198"/>
      <c r="G132" s="215">
        <f>G133</f>
        <v>430</v>
      </c>
      <c r="H132" s="199"/>
      <c r="I132" s="89"/>
    </row>
    <row r="133" spans="1:9" s="49" customFormat="1" ht="15.75">
      <c r="A133" s="26" t="s">
        <v>159</v>
      </c>
      <c r="B133" s="208" t="s">
        <v>221</v>
      </c>
      <c r="C133" s="197" t="s">
        <v>206</v>
      </c>
      <c r="D133" s="198" t="s">
        <v>346</v>
      </c>
      <c r="E133" s="197" t="s">
        <v>329</v>
      </c>
      <c r="F133" s="198"/>
      <c r="G133" s="215">
        <f>'Прилож №5'!H125</f>
        <v>430</v>
      </c>
      <c r="H133" s="199"/>
      <c r="I133" s="89"/>
    </row>
    <row r="134" spans="1:9" s="49" customFormat="1" ht="15.75">
      <c r="A134" s="178" t="s">
        <v>3</v>
      </c>
      <c r="B134" s="208" t="s">
        <v>221</v>
      </c>
      <c r="C134" s="167" t="s">
        <v>207</v>
      </c>
      <c r="D134" s="198"/>
      <c r="E134" s="197"/>
      <c r="F134" s="174"/>
      <c r="G134" s="207">
        <f>G139+G135+G144</f>
        <v>225409</v>
      </c>
      <c r="H134" s="176">
        <f>H139+H135</f>
        <v>0</v>
      </c>
      <c r="I134" s="89"/>
    </row>
    <row r="135" spans="1:9" s="49" customFormat="1" ht="30">
      <c r="A135" s="214" t="s">
        <v>229</v>
      </c>
      <c r="B135" s="288" t="s">
        <v>221</v>
      </c>
      <c r="C135" s="167" t="s">
        <v>207</v>
      </c>
      <c r="D135" s="198" t="s">
        <v>74</v>
      </c>
      <c r="E135" s="197"/>
      <c r="F135" s="198"/>
      <c r="G135" s="215">
        <f aca="true" t="shared" si="10" ref="G135:H137">G136</f>
        <v>2000</v>
      </c>
      <c r="H135" s="199">
        <f t="shared" si="10"/>
        <v>0</v>
      </c>
      <c r="I135" s="89"/>
    </row>
    <row r="136" spans="1:9" s="49" customFormat="1" ht="60">
      <c r="A136" s="214" t="s">
        <v>230</v>
      </c>
      <c r="B136" s="288" t="s">
        <v>221</v>
      </c>
      <c r="C136" s="167" t="s">
        <v>207</v>
      </c>
      <c r="D136" s="198" t="s">
        <v>231</v>
      </c>
      <c r="E136" s="197"/>
      <c r="F136" s="198"/>
      <c r="G136" s="215">
        <f t="shared" si="10"/>
        <v>2000</v>
      </c>
      <c r="H136" s="199">
        <f t="shared" si="10"/>
        <v>0</v>
      </c>
      <c r="I136" s="89"/>
    </row>
    <row r="137" spans="1:9" s="49" customFormat="1" ht="30">
      <c r="A137" s="214" t="s">
        <v>279</v>
      </c>
      <c r="B137" s="288" t="s">
        <v>221</v>
      </c>
      <c r="C137" s="167" t="s">
        <v>207</v>
      </c>
      <c r="D137" s="198" t="s">
        <v>280</v>
      </c>
      <c r="E137" s="197"/>
      <c r="F137" s="198"/>
      <c r="G137" s="215">
        <f t="shared" si="10"/>
        <v>2000</v>
      </c>
      <c r="H137" s="199">
        <f t="shared" si="10"/>
        <v>0</v>
      </c>
      <c r="I137" s="89"/>
    </row>
    <row r="138" spans="1:9" s="49" customFormat="1" ht="15.75">
      <c r="A138" s="214" t="s">
        <v>232</v>
      </c>
      <c r="B138" s="288" t="s">
        <v>221</v>
      </c>
      <c r="C138" s="167" t="s">
        <v>207</v>
      </c>
      <c r="D138" s="198" t="s">
        <v>280</v>
      </c>
      <c r="E138" s="197" t="s">
        <v>69</v>
      </c>
      <c r="F138" s="163"/>
      <c r="G138" s="215">
        <f>'Прилож №5'!H130+'Прилож №5'!H134+'Прилож №5'!H138+'Прилож №5'!H142+'Прилож №5'!H146</f>
        <v>2000</v>
      </c>
      <c r="H138" s="176"/>
      <c r="I138" s="89"/>
    </row>
    <row r="139" spans="1:9" s="49" customFormat="1" ht="15.75">
      <c r="A139" s="183" t="s">
        <v>56</v>
      </c>
      <c r="B139" s="288" t="s">
        <v>221</v>
      </c>
      <c r="C139" s="167" t="s">
        <v>207</v>
      </c>
      <c r="D139" s="168" t="s">
        <v>78</v>
      </c>
      <c r="E139" s="300"/>
      <c r="F139" s="295">
        <f>F140</f>
        <v>5000</v>
      </c>
      <c r="G139" s="215">
        <f>G140+G143</f>
        <v>33070</v>
      </c>
      <c r="H139" s="199">
        <f>H140</f>
        <v>0</v>
      </c>
      <c r="I139" s="89"/>
    </row>
    <row r="140" spans="1:9" s="49" customFormat="1" ht="15.75">
      <c r="A140" s="183" t="s">
        <v>226</v>
      </c>
      <c r="B140" s="288" t="s">
        <v>221</v>
      </c>
      <c r="C140" s="167" t="s">
        <v>207</v>
      </c>
      <c r="D140" s="168" t="s">
        <v>227</v>
      </c>
      <c r="E140" s="300"/>
      <c r="F140" s="295">
        <f>5000</f>
        <v>5000</v>
      </c>
      <c r="G140" s="215">
        <f>G141</f>
        <v>30570</v>
      </c>
      <c r="H140" s="199">
        <f>H141</f>
        <v>0</v>
      </c>
      <c r="I140" s="89"/>
    </row>
    <row r="141" spans="1:9" s="49" customFormat="1" ht="15.75">
      <c r="A141" s="183" t="s">
        <v>201</v>
      </c>
      <c r="B141" s="208" t="s">
        <v>221</v>
      </c>
      <c r="C141" s="167" t="s">
        <v>207</v>
      </c>
      <c r="D141" s="168" t="s">
        <v>227</v>
      </c>
      <c r="E141" s="167" t="s">
        <v>90</v>
      </c>
      <c r="F141" s="168"/>
      <c r="G141" s="209">
        <f>'Прилож №5'!H149</f>
        <v>30570</v>
      </c>
      <c r="H141" s="170">
        <f>H155+H154</f>
        <v>0</v>
      </c>
      <c r="I141" s="89"/>
    </row>
    <row r="142" spans="1:9" s="49" customFormat="1" ht="30">
      <c r="A142" s="201" t="s">
        <v>409</v>
      </c>
      <c r="B142" s="208" t="s">
        <v>221</v>
      </c>
      <c r="C142" s="167" t="s">
        <v>207</v>
      </c>
      <c r="D142" s="168" t="s">
        <v>375</v>
      </c>
      <c r="E142" s="167"/>
      <c r="F142" s="168"/>
      <c r="G142" s="209">
        <f>G143</f>
        <v>2500</v>
      </c>
      <c r="H142" s="170"/>
      <c r="I142" s="89"/>
    </row>
    <row r="143" spans="1:9" s="49" customFormat="1" ht="15.75">
      <c r="A143" s="179" t="s">
        <v>159</v>
      </c>
      <c r="B143" s="208" t="s">
        <v>221</v>
      </c>
      <c r="C143" s="167" t="s">
        <v>207</v>
      </c>
      <c r="D143" s="168" t="s">
        <v>375</v>
      </c>
      <c r="E143" s="167" t="s">
        <v>329</v>
      </c>
      <c r="F143" s="168"/>
      <c r="G143" s="209">
        <f>'Прилож №5'!H151</f>
        <v>2500</v>
      </c>
      <c r="H143" s="170"/>
      <c r="I143" s="89"/>
    </row>
    <row r="144" spans="1:9" s="49" customFormat="1" ht="15.75">
      <c r="A144" s="27" t="s">
        <v>143</v>
      </c>
      <c r="B144" s="208" t="s">
        <v>221</v>
      </c>
      <c r="C144" s="167" t="s">
        <v>207</v>
      </c>
      <c r="D144" s="168" t="s">
        <v>144</v>
      </c>
      <c r="E144" s="167"/>
      <c r="F144" s="168"/>
      <c r="G144" s="209">
        <f>G147+G145</f>
        <v>190339</v>
      </c>
      <c r="H144" s="170"/>
      <c r="I144" s="89"/>
    </row>
    <row r="145" spans="1:9" s="49" customFormat="1" ht="26.25">
      <c r="A145" s="113" t="s">
        <v>312</v>
      </c>
      <c r="B145" s="208" t="s">
        <v>221</v>
      </c>
      <c r="C145" s="167" t="s">
        <v>207</v>
      </c>
      <c r="D145" s="168" t="s">
        <v>313</v>
      </c>
      <c r="E145" s="167"/>
      <c r="F145" s="168"/>
      <c r="G145" s="209">
        <f>G146</f>
        <v>189559</v>
      </c>
      <c r="H145" s="170"/>
      <c r="I145" s="89"/>
    </row>
    <row r="146" spans="1:9" s="49" customFormat="1" ht="15.75">
      <c r="A146" s="28" t="s">
        <v>159</v>
      </c>
      <c r="B146" s="208" t="s">
        <v>221</v>
      </c>
      <c r="C146" s="167" t="s">
        <v>207</v>
      </c>
      <c r="D146" s="168" t="s">
        <v>313</v>
      </c>
      <c r="E146" s="167" t="s">
        <v>329</v>
      </c>
      <c r="F146" s="168"/>
      <c r="G146" s="209">
        <f>'Прилож №5'!H154</f>
        <v>189559</v>
      </c>
      <c r="H146" s="170"/>
      <c r="I146" s="89"/>
    </row>
    <row r="147" spans="1:9" s="49" customFormat="1" ht="26.25">
      <c r="A147" s="47" t="s">
        <v>376</v>
      </c>
      <c r="B147" s="208" t="s">
        <v>221</v>
      </c>
      <c r="C147" s="167" t="s">
        <v>207</v>
      </c>
      <c r="D147" s="168" t="s">
        <v>383</v>
      </c>
      <c r="E147" s="167"/>
      <c r="F147" s="168"/>
      <c r="G147" s="209">
        <f>G148</f>
        <v>780</v>
      </c>
      <c r="H147" s="170"/>
      <c r="I147" s="89"/>
    </row>
    <row r="148" spans="1:9" s="49" customFormat="1" ht="15.75">
      <c r="A148" s="27" t="s">
        <v>159</v>
      </c>
      <c r="B148" s="208" t="s">
        <v>221</v>
      </c>
      <c r="C148" s="167" t="s">
        <v>207</v>
      </c>
      <c r="D148" s="168" t="s">
        <v>383</v>
      </c>
      <c r="E148" s="167" t="s">
        <v>329</v>
      </c>
      <c r="F148" s="168"/>
      <c r="G148" s="209">
        <f>'Прилож №5'!H156</f>
        <v>780</v>
      </c>
      <c r="H148" s="170"/>
      <c r="I148" s="89"/>
    </row>
    <row r="149" spans="1:9" s="24" customFormat="1" ht="15.75">
      <c r="A149" s="216" t="s">
        <v>146</v>
      </c>
      <c r="B149" s="206" t="s">
        <v>221</v>
      </c>
      <c r="C149" s="173" t="s">
        <v>212</v>
      </c>
      <c r="D149" s="174"/>
      <c r="E149" s="173"/>
      <c r="F149" s="174"/>
      <c r="G149" s="207">
        <f>G150+G165+G162</f>
        <v>198069.69999999998</v>
      </c>
      <c r="H149" s="176">
        <f>H150+H165+H162</f>
        <v>5234.7</v>
      </c>
      <c r="I149" s="89"/>
    </row>
    <row r="150" spans="1:9" s="49" customFormat="1" ht="15.75">
      <c r="A150" s="183" t="s">
        <v>56</v>
      </c>
      <c r="B150" s="208" t="s">
        <v>221</v>
      </c>
      <c r="C150" s="167" t="s">
        <v>212</v>
      </c>
      <c r="D150" s="168" t="s">
        <v>78</v>
      </c>
      <c r="E150" s="167"/>
      <c r="F150" s="168"/>
      <c r="G150" s="209">
        <f>G151+G160</f>
        <v>162781.69999999998</v>
      </c>
      <c r="H150" s="170">
        <f>H151</f>
        <v>0</v>
      </c>
      <c r="I150" s="89"/>
    </row>
    <row r="151" spans="1:9" s="49" customFormat="1" ht="15.75">
      <c r="A151" s="183" t="s">
        <v>241</v>
      </c>
      <c r="B151" s="208" t="s">
        <v>221</v>
      </c>
      <c r="C151" s="167" t="s">
        <v>212</v>
      </c>
      <c r="D151" s="168" t="s">
        <v>238</v>
      </c>
      <c r="E151" s="167"/>
      <c r="F151" s="168"/>
      <c r="G151" s="209">
        <f>G152+G154+G156+G158</f>
        <v>162621.69999999998</v>
      </c>
      <c r="H151" s="170">
        <f>H152+H154+H156+H158</f>
        <v>0</v>
      </c>
      <c r="I151" s="89"/>
    </row>
    <row r="152" spans="1:9" s="49" customFormat="1" ht="15.75">
      <c r="A152" s="183" t="s">
        <v>237</v>
      </c>
      <c r="B152" s="208" t="s">
        <v>221</v>
      </c>
      <c r="C152" s="167" t="s">
        <v>212</v>
      </c>
      <c r="D152" s="168" t="s">
        <v>239</v>
      </c>
      <c r="E152" s="167"/>
      <c r="F152" s="168"/>
      <c r="G152" s="209">
        <f>G153</f>
        <v>21832.4</v>
      </c>
      <c r="H152" s="170">
        <f>H153</f>
        <v>0</v>
      </c>
      <c r="I152" s="89"/>
    </row>
    <row r="153" spans="1:9" s="49" customFormat="1" ht="15.75">
      <c r="A153" s="183" t="s">
        <v>201</v>
      </c>
      <c r="B153" s="208" t="s">
        <v>221</v>
      </c>
      <c r="C153" s="167" t="s">
        <v>212</v>
      </c>
      <c r="D153" s="168" t="s">
        <v>239</v>
      </c>
      <c r="E153" s="167" t="s">
        <v>90</v>
      </c>
      <c r="F153" s="168"/>
      <c r="G153" s="209">
        <f>'Прилож №5'!H161+'Прилож №5'!H450</f>
        <v>21832.4</v>
      </c>
      <c r="H153" s="170">
        <f>'Прилож №5'!I161</f>
        <v>0</v>
      </c>
      <c r="I153" s="89"/>
    </row>
    <row r="154" spans="1:9" s="49" customFormat="1" ht="15.75">
      <c r="A154" s="183" t="s">
        <v>149</v>
      </c>
      <c r="B154" s="208" t="s">
        <v>221</v>
      </c>
      <c r="C154" s="167" t="s">
        <v>212</v>
      </c>
      <c r="D154" s="168" t="s">
        <v>240</v>
      </c>
      <c r="E154" s="167"/>
      <c r="F154" s="168"/>
      <c r="G154" s="209">
        <f>G155</f>
        <v>12620</v>
      </c>
      <c r="H154" s="170">
        <f>H155</f>
        <v>0</v>
      </c>
      <c r="I154" s="89"/>
    </row>
    <row r="155" spans="1:9" s="49" customFormat="1" ht="15.75">
      <c r="A155" s="183" t="s">
        <v>201</v>
      </c>
      <c r="B155" s="208" t="s">
        <v>221</v>
      </c>
      <c r="C155" s="167" t="s">
        <v>212</v>
      </c>
      <c r="D155" s="168" t="s">
        <v>240</v>
      </c>
      <c r="E155" s="167" t="s">
        <v>90</v>
      </c>
      <c r="F155" s="168"/>
      <c r="G155" s="209">
        <f>'Прилож №5'!H163</f>
        <v>12620</v>
      </c>
      <c r="H155" s="170">
        <f>'Прилож №5'!I163</f>
        <v>0</v>
      </c>
      <c r="I155" s="89"/>
    </row>
    <row r="156" spans="1:9" s="49" customFormat="1" ht="15.75">
      <c r="A156" s="183" t="s">
        <v>243</v>
      </c>
      <c r="B156" s="208" t="s">
        <v>221</v>
      </c>
      <c r="C156" s="167" t="s">
        <v>212</v>
      </c>
      <c r="D156" s="168" t="s">
        <v>242</v>
      </c>
      <c r="E156" s="167"/>
      <c r="F156" s="168"/>
      <c r="G156" s="209">
        <f>G157</f>
        <v>112460.29999999999</v>
      </c>
      <c r="H156" s="170">
        <f>H157</f>
        <v>0</v>
      </c>
      <c r="I156" s="89"/>
    </row>
    <row r="157" spans="1:9" s="49" customFormat="1" ht="15.75">
      <c r="A157" s="183" t="s">
        <v>201</v>
      </c>
      <c r="B157" s="208" t="s">
        <v>221</v>
      </c>
      <c r="C157" s="167" t="s">
        <v>212</v>
      </c>
      <c r="D157" s="168" t="s">
        <v>242</v>
      </c>
      <c r="E157" s="167" t="s">
        <v>90</v>
      </c>
      <c r="F157" s="168"/>
      <c r="G157" s="209">
        <f>'Прилож №5'!H165+'Прилож №5'!H452</f>
        <v>112460.29999999999</v>
      </c>
      <c r="H157" s="170">
        <f>'Прилож №5'!I165</f>
        <v>0</v>
      </c>
      <c r="I157" s="89"/>
    </row>
    <row r="158" spans="1:9" s="49" customFormat="1" ht="15.75">
      <c r="A158" s="183" t="s">
        <v>157</v>
      </c>
      <c r="B158" s="208" t="s">
        <v>221</v>
      </c>
      <c r="C158" s="167" t="s">
        <v>212</v>
      </c>
      <c r="D158" s="168" t="s">
        <v>244</v>
      </c>
      <c r="E158" s="167"/>
      <c r="F158" s="168" t="s">
        <v>147</v>
      </c>
      <c r="G158" s="209">
        <f>G159</f>
        <v>15709</v>
      </c>
      <c r="H158" s="170">
        <f>H159</f>
        <v>0</v>
      </c>
      <c r="I158" s="89"/>
    </row>
    <row r="159" spans="1:9" s="49" customFormat="1" ht="17.25" customHeight="1">
      <c r="A159" s="179" t="s">
        <v>201</v>
      </c>
      <c r="B159" s="210" t="s">
        <v>221</v>
      </c>
      <c r="C159" s="180" t="s">
        <v>212</v>
      </c>
      <c r="D159" s="181" t="s">
        <v>244</v>
      </c>
      <c r="E159" s="180" t="s">
        <v>90</v>
      </c>
      <c r="F159" s="181" t="s">
        <v>148</v>
      </c>
      <c r="G159" s="211">
        <f>'Прилож №5'!H167</f>
        <v>15709</v>
      </c>
      <c r="H159" s="182">
        <f>'Прилож №5'!I167</f>
        <v>0</v>
      </c>
      <c r="I159" s="89"/>
    </row>
    <row r="160" spans="1:9" s="49" customFormat="1" ht="17.25" customHeight="1">
      <c r="A160" s="273" t="s">
        <v>373</v>
      </c>
      <c r="B160" s="208" t="s">
        <v>221</v>
      </c>
      <c r="C160" s="167" t="s">
        <v>207</v>
      </c>
      <c r="D160" s="168" t="s">
        <v>375</v>
      </c>
      <c r="E160" s="167"/>
      <c r="F160" s="169"/>
      <c r="G160" s="203">
        <f>G161</f>
        <v>160</v>
      </c>
      <c r="H160" s="170"/>
      <c r="I160" s="89"/>
    </row>
    <row r="161" spans="1:9" s="49" customFormat="1" ht="17.25" customHeight="1">
      <c r="A161" s="273" t="s">
        <v>159</v>
      </c>
      <c r="B161" s="208" t="s">
        <v>221</v>
      </c>
      <c r="C161" s="167" t="s">
        <v>207</v>
      </c>
      <c r="D161" s="168" t="s">
        <v>375</v>
      </c>
      <c r="E161" s="167" t="s">
        <v>329</v>
      </c>
      <c r="F161" s="169"/>
      <c r="G161" s="203">
        <f>'Прилож №5'!H536</f>
        <v>160</v>
      </c>
      <c r="H161" s="170"/>
      <c r="I161" s="89"/>
    </row>
    <row r="162" spans="1:9" s="49" customFormat="1" ht="17.25" customHeight="1">
      <c r="A162" s="233" t="s">
        <v>146</v>
      </c>
      <c r="B162" s="208" t="s">
        <v>221</v>
      </c>
      <c r="C162" s="167" t="s">
        <v>212</v>
      </c>
      <c r="D162" s="168" t="s">
        <v>378</v>
      </c>
      <c r="E162" s="167"/>
      <c r="F162" s="169"/>
      <c r="G162" s="203">
        <f>G163</f>
        <v>27788</v>
      </c>
      <c r="H162" s="170">
        <f>H163</f>
        <v>5234.7</v>
      </c>
      <c r="I162" s="89"/>
    </row>
    <row r="163" spans="1:9" s="49" customFormat="1" ht="17.25" customHeight="1">
      <c r="A163" s="233" t="s">
        <v>379</v>
      </c>
      <c r="B163" s="208" t="s">
        <v>221</v>
      </c>
      <c r="C163" s="167" t="s">
        <v>212</v>
      </c>
      <c r="D163" s="168" t="s">
        <v>380</v>
      </c>
      <c r="E163" s="167"/>
      <c r="F163" s="169"/>
      <c r="G163" s="203">
        <f>G164</f>
        <v>27788</v>
      </c>
      <c r="H163" s="170">
        <f>H164</f>
        <v>5234.7</v>
      </c>
      <c r="I163" s="89"/>
    </row>
    <row r="164" spans="1:9" s="49" customFormat="1" ht="17.25" customHeight="1">
      <c r="A164" s="233" t="s">
        <v>159</v>
      </c>
      <c r="B164" s="208" t="s">
        <v>221</v>
      </c>
      <c r="C164" s="167" t="s">
        <v>212</v>
      </c>
      <c r="D164" s="168" t="s">
        <v>380</v>
      </c>
      <c r="E164" s="167" t="s">
        <v>329</v>
      </c>
      <c r="F164" s="169"/>
      <c r="G164" s="203">
        <f>'Прилож №5'!H170</f>
        <v>27788</v>
      </c>
      <c r="H164" s="182">
        <f>'Прилож №5'!I170</f>
        <v>5234.7</v>
      </c>
      <c r="I164" s="89"/>
    </row>
    <row r="165" spans="1:9" s="49" customFormat="1" ht="19.5" customHeight="1">
      <c r="A165" s="48" t="s">
        <v>143</v>
      </c>
      <c r="B165" s="208" t="s">
        <v>221</v>
      </c>
      <c r="C165" s="167" t="s">
        <v>212</v>
      </c>
      <c r="D165" s="168" t="s">
        <v>144</v>
      </c>
      <c r="E165" s="167"/>
      <c r="F165" s="169"/>
      <c r="G165" s="203">
        <f>G166</f>
        <v>7500</v>
      </c>
      <c r="H165" s="182"/>
      <c r="I165" s="89"/>
    </row>
    <row r="166" spans="1:9" s="49" customFormat="1" ht="44.25" customHeight="1">
      <c r="A166" s="48" t="s">
        <v>347</v>
      </c>
      <c r="B166" s="208" t="s">
        <v>221</v>
      </c>
      <c r="C166" s="167" t="s">
        <v>212</v>
      </c>
      <c r="D166" s="168" t="s">
        <v>348</v>
      </c>
      <c r="E166" s="167"/>
      <c r="F166" s="169"/>
      <c r="G166" s="203">
        <f>G167</f>
        <v>7500</v>
      </c>
      <c r="H166" s="182"/>
      <c r="I166" s="89"/>
    </row>
    <row r="167" spans="1:9" s="49" customFormat="1" ht="17.25" customHeight="1">
      <c r="A167" s="28" t="s">
        <v>159</v>
      </c>
      <c r="B167" s="208" t="s">
        <v>221</v>
      </c>
      <c r="C167" s="167" t="s">
        <v>212</v>
      </c>
      <c r="D167" s="168" t="s">
        <v>348</v>
      </c>
      <c r="E167" s="167" t="s">
        <v>329</v>
      </c>
      <c r="F167" s="181"/>
      <c r="G167" s="217">
        <f>'Прилож №5'!H173</f>
        <v>7500</v>
      </c>
      <c r="H167" s="182"/>
      <c r="I167" s="89"/>
    </row>
    <row r="168" spans="1:9" s="49" customFormat="1" ht="16.5" thickBot="1">
      <c r="A168" s="218" t="s">
        <v>45</v>
      </c>
      <c r="B168" s="289" t="s">
        <v>228</v>
      </c>
      <c r="C168" s="219" t="s">
        <v>133</v>
      </c>
      <c r="D168" s="239"/>
      <c r="E168" s="219"/>
      <c r="F168" s="224"/>
      <c r="G168" s="281">
        <f aca="true" t="shared" si="11" ref="G168:H171">G169</f>
        <v>5855</v>
      </c>
      <c r="H168" s="213">
        <f t="shared" si="11"/>
        <v>0</v>
      </c>
      <c r="I168" s="89"/>
    </row>
    <row r="169" spans="1:9" s="49" customFormat="1" ht="15.75">
      <c r="A169" s="177" t="s">
        <v>46</v>
      </c>
      <c r="B169" s="290" t="s">
        <v>228</v>
      </c>
      <c r="C169" s="220" t="s">
        <v>221</v>
      </c>
      <c r="D169" s="163"/>
      <c r="E169" s="220"/>
      <c r="F169" s="296"/>
      <c r="G169" s="231">
        <f t="shared" si="11"/>
        <v>5855</v>
      </c>
      <c r="H169" s="221">
        <f t="shared" si="11"/>
        <v>0</v>
      </c>
      <c r="I169" s="89"/>
    </row>
    <row r="170" spans="1:9" s="49" customFormat="1" ht="15.75">
      <c r="A170" s="183" t="s">
        <v>143</v>
      </c>
      <c r="B170" s="288" t="s">
        <v>228</v>
      </c>
      <c r="C170" s="197" t="s">
        <v>221</v>
      </c>
      <c r="D170" s="198" t="s">
        <v>144</v>
      </c>
      <c r="E170" s="197"/>
      <c r="F170" s="234"/>
      <c r="G170" s="215">
        <f t="shared" si="11"/>
        <v>5855</v>
      </c>
      <c r="H170" s="199">
        <f t="shared" si="11"/>
        <v>0</v>
      </c>
      <c r="I170" s="89"/>
    </row>
    <row r="171" spans="1:9" s="49" customFormat="1" ht="45" customHeight="1">
      <c r="A171" s="166" t="s">
        <v>308</v>
      </c>
      <c r="B171" s="288" t="s">
        <v>228</v>
      </c>
      <c r="C171" s="197" t="s">
        <v>221</v>
      </c>
      <c r="D171" s="198" t="s">
        <v>309</v>
      </c>
      <c r="E171" s="197"/>
      <c r="F171" s="234"/>
      <c r="G171" s="215">
        <f t="shared" si="11"/>
        <v>5855</v>
      </c>
      <c r="H171" s="199">
        <f t="shared" si="11"/>
        <v>0</v>
      </c>
      <c r="I171" s="89"/>
    </row>
    <row r="172" spans="1:9" s="49" customFormat="1" ht="16.5" thickBot="1">
      <c r="A172" s="171" t="s">
        <v>159</v>
      </c>
      <c r="B172" s="288" t="s">
        <v>228</v>
      </c>
      <c r="C172" s="197" t="s">
        <v>221</v>
      </c>
      <c r="D172" s="198" t="s">
        <v>309</v>
      </c>
      <c r="E172" s="197" t="s">
        <v>329</v>
      </c>
      <c r="F172" s="234"/>
      <c r="G172" s="215">
        <f>'Прилож №5'!H178+'Прилож №5'!H293+'Прилож №5'!H365+'Прилож №5'!H457</f>
        <v>5855</v>
      </c>
      <c r="H172" s="199">
        <f>'Прилож №5'!I178</f>
        <v>0</v>
      </c>
      <c r="I172" s="89"/>
    </row>
    <row r="173" spans="1:9" s="49" customFormat="1" ht="16.5" thickBot="1">
      <c r="A173" s="185" t="s">
        <v>6</v>
      </c>
      <c r="B173" s="286" t="s">
        <v>215</v>
      </c>
      <c r="C173" s="186" t="s">
        <v>133</v>
      </c>
      <c r="D173" s="187"/>
      <c r="E173" s="186"/>
      <c r="F173" s="212"/>
      <c r="G173" s="202">
        <f>G174+G182+G204+G211</f>
        <v>718685.6</v>
      </c>
      <c r="H173" s="188">
        <f>H174+H182+H204+H211</f>
        <v>264761</v>
      </c>
      <c r="I173" s="89"/>
    </row>
    <row r="174" spans="1:9" s="49" customFormat="1" ht="15.75">
      <c r="A174" s="177" t="s">
        <v>7</v>
      </c>
      <c r="B174" s="285" t="s">
        <v>215</v>
      </c>
      <c r="C174" s="162" t="s">
        <v>206</v>
      </c>
      <c r="D174" s="190"/>
      <c r="E174" s="162"/>
      <c r="F174" s="190"/>
      <c r="G174" s="278">
        <f>G175+G179</f>
        <v>268775.1</v>
      </c>
      <c r="H174" s="165">
        <f>H175</f>
        <v>0</v>
      </c>
      <c r="I174" s="89"/>
    </row>
    <row r="175" spans="1:9" s="49" customFormat="1" ht="30">
      <c r="A175" s="214" t="s">
        <v>229</v>
      </c>
      <c r="B175" s="302" t="s">
        <v>215</v>
      </c>
      <c r="C175" s="197" t="s">
        <v>206</v>
      </c>
      <c r="D175" s="198" t="s">
        <v>74</v>
      </c>
      <c r="E175" s="197"/>
      <c r="F175" s="198"/>
      <c r="G175" s="215">
        <f>G176</f>
        <v>6242</v>
      </c>
      <c r="H175" s="199">
        <f>H176</f>
        <v>0</v>
      </c>
      <c r="I175" s="89"/>
    </row>
    <row r="176" spans="1:9" s="49" customFormat="1" ht="60">
      <c r="A176" s="214" t="s">
        <v>230</v>
      </c>
      <c r="B176" s="302" t="s">
        <v>215</v>
      </c>
      <c r="C176" s="197" t="s">
        <v>206</v>
      </c>
      <c r="D176" s="198" t="s">
        <v>231</v>
      </c>
      <c r="E176" s="197"/>
      <c r="F176" s="198"/>
      <c r="G176" s="215">
        <f>G177</f>
        <v>6242</v>
      </c>
      <c r="H176" s="199">
        <f>H177</f>
        <v>0</v>
      </c>
      <c r="I176" s="89"/>
    </row>
    <row r="177" spans="1:9" s="49" customFormat="1" ht="30">
      <c r="A177" s="214" t="s">
        <v>279</v>
      </c>
      <c r="B177" s="208" t="s">
        <v>215</v>
      </c>
      <c r="C177" s="197" t="s">
        <v>206</v>
      </c>
      <c r="D177" s="198" t="s">
        <v>280</v>
      </c>
      <c r="E177" s="197"/>
      <c r="F177" s="198"/>
      <c r="G177" s="215">
        <f>G178</f>
        <v>6242</v>
      </c>
      <c r="H177" s="199">
        <f>H178</f>
        <v>0</v>
      </c>
      <c r="I177" s="89"/>
    </row>
    <row r="178" spans="1:9" s="49" customFormat="1" ht="15.75">
      <c r="A178" s="214" t="s">
        <v>232</v>
      </c>
      <c r="B178" s="302" t="s">
        <v>215</v>
      </c>
      <c r="C178" s="197" t="s">
        <v>206</v>
      </c>
      <c r="D178" s="198" t="s">
        <v>280</v>
      </c>
      <c r="E178" s="197" t="s">
        <v>69</v>
      </c>
      <c r="F178" s="198"/>
      <c r="G178" s="215">
        <f>'Прилож №5'!H184+'Прилож №5'!H188+'Прилож №5'!H192+'Прилож №5'!H196+'Прилож №5'!H299+'Прилож №5'!H303</f>
        <v>6242</v>
      </c>
      <c r="H178" s="199">
        <f>'Прилож №5'!I184+'Прилож №5'!I188+'Прилож №5'!I192+'Прилож №5'!I196</f>
        <v>0</v>
      </c>
      <c r="I178" s="89"/>
    </row>
    <row r="179" spans="1:9" s="49" customFormat="1" ht="15.75">
      <c r="A179" s="183" t="s">
        <v>8</v>
      </c>
      <c r="B179" s="210" t="s">
        <v>215</v>
      </c>
      <c r="C179" s="167" t="s">
        <v>206</v>
      </c>
      <c r="D179" s="168" t="s">
        <v>27</v>
      </c>
      <c r="E179" s="167"/>
      <c r="F179" s="168"/>
      <c r="G179" s="209">
        <f>G180</f>
        <v>262533.1</v>
      </c>
      <c r="H179" s="170">
        <f>H180</f>
        <v>0</v>
      </c>
      <c r="I179" s="89"/>
    </row>
    <row r="180" spans="1:9" s="49" customFormat="1" ht="15.75">
      <c r="A180" s="179" t="s">
        <v>28</v>
      </c>
      <c r="B180" s="210" t="s">
        <v>215</v>
      </c>
      <c r="C180" s="180" t="s">
        <v>206</v>
      </c>
      <c r="D180" s="181" t="s">
        <v>233</v>
      </c>
      <c r="E180" s="180"/>
      <c r="F180" s="181"/>
      <c r="G180" s="209">
        <f>G181</f>
        <v>262533.1</v>
      </c>
      <c r="H180" s="170">
        <f>H181</f>
        <v>0</v>
      </c>
      <c r="I180" s="89"/>
    </row>
    <row r="181" spans="1:9" s="49" customFormat="1" ht="15.75">
      <c r="A181" s="179" t="s">
        <v>189</v>
      </c>
      <c r="B181" s="210" t="s">
        <v>215</v>
      </c>
      <c r="C181" s="180" t="s">
        <v>206</v>
      </c>
      <c r="D181" s="181" t="s">
        <v>233</v>
      </c>
      <c r="E181" s="180" t="s">
        <v>89</v>
      </c>
      <c r="F181" s="181"/>
      <c r="G181" s="209">
        <f>'Прилож №5'!H307+'Прилож №5'!H199+'Прилож №5'!H462</f>
        <v>262533.1</v>
      </c>
      <c r="H181" s="170">
        <f>'Прилож №5'!I307</f>
        <v>0</v>
      </c>
      <c r="I181" s="89"/>
    </row>
    <row r="182" spans="1:9" s="49" customFormat="1" ht="15.75">
      <c r="A182" s="178" t="s">
        <v>9</v>
      </c>
      <c r="B182" s="292" t="s">
        <v>215</v>
      </c>
      <c r="C182" s="200" t="s">
        <v>207</v>
      </c>
      <c r="D182" s="174"/>
      <c r="E182" s="173"/>
      <c r="F182" s="222"/>
      <c r="G182" s="207">
        <f>G187+G190+G199+G196+G193+G183</f>
        <v>402867.9</v>
      </c>
      <c r="H182" s="176">
        <f>H187+H190+H199+H196+H193</f>
        <v>260337</v>
      </c>
      <c r="I182" s="89"/>
    </row>
    <row r="183" spans="1:9" s="49" customFormat="1" ht="30">
      <c r="A183" s="214" t="s">
        <v>229</v>
      </c>
      <c r="B183" s="208" t="s">
        <v>215</v>
      </c>
      <c r="C183" s="180" t="s">
        <v>207</v>
      </c>
      <c r="D183" s="198" t="s">
        <v>74</v>
      </c>
      <c r="E183" s="197"/>
      <c r="F183" s="222"/>
      <c r="G183" s="326">
        <f>G184</f>
        <v>330</v>
      </c>
      <c r="H183" s="227"/>
      <c r="I183" s="89"/>
    </row>
    <row r="184" spans="1:9" s="49" customFormat="1" ht="60">
      <c r="A184" s="214" t="s">
        <v>230</v>
      </c>
      <c r="B184" s="208" t="s">
        <v>215</v>
      </c>
      <c r="C184" s="180" t="s">
        <v>207</v>
      </c>
      <c r="D184" s="198" t="s">
        <v>231</v>
      </c>
      <c r="E184" s="197"/>
      <c r="F184" s="222"/>
      <c r="G184" s="326">
        <f>G185</f>
        <v>330</v>
      </c>
      <c r="H184" s="227"/>
      <c r="I184" s="89"/>
    </row>
    <row r="185" spans="1:9" s="49" customFormat="1" ht="30">
      <c r="A185" s="214" t="s">
        <v>279</v>
      </c>
      <c r="B185" s="208" t="s">
        <v>215</v>
      </c>
      <c r="C185" s="180" t="s">
        <v>207</v>
      </c>
      <c r="D185" s="198" t="s">
        <v>280</v>
      </c>
      <c r="E185" s="197"/>
      <c r="F185" s="222"/>
      <c r="G185" s="326">
        <f>G186</f>
        <v>330</v>
      </c>
      <c r="H185" s="227"/>
      <c r="I185" s="89"/>
    </row>
    <row r="186" spans="1:9" s="49" customFormat="1" ht="15.75">
      <c r="A186" s="214" t="s">
        <v>232</v>
      </c>
      <c r="B186" s="208" t="s">
        <v>215</v>
      </c>
      <c r="C186" s="180" t="s">
        <v>207</v>
      </c>
      <c r="D186" s="198" t="s">
        <v>280</v>
      </c>
      <c r="E186" s="197" t="s">
        <v>69</v>
      </c>
      <c r="F186" s="222"/>
      <c r="G186" s="326">
        <f>'Прилож №5'!H204</f>
        <v>330</v>
      </c>
      <c r="H186" s="227"/>
      <c r="I186" s="89"/>
    </row>
    <row r="187" spans="1:9" s="49" customFormat="1" ht="15" customHeight="1">
      <c r="A187" s="201" t="s">
        <v>116</v>
      </c>
      <c r="B187" s="208" t="s">
        <v>215</v>
      </c>
      <c r="C187" s="180" t="s">
        <v>207</v>
      </c>
      <c r="D187" s="181" t="s">
        <v>29</v>
      </c>
      <c r="E187" s="167"/>
      <c r="F187" s="181"/>
      <c r="G187" s="211">
        <f>G188</f>
        <v>317393.60000000003</v>
      </c>
      <c r="H187" s="182">
        <f>H188</f>
        <v>241869.2</v>
      </c>
      <c r="I187" s="89"/>
    </row>
    <row r="188" spans="1:9" s="49" customFormat="1" ht="15.75">
      <c r="A188" s="179" t="s">
        <v>28</v>
      </c>
      <c r="B188" s="208" t="s">
        <v>215</v>
      </c>
      <c r="C188" s="167" t="s">
        <v>207</v>
      </c>
      <c r="D188" s="168" t="s">
        <v>234</v>
      </c>
      <c r="E188" s="167"/>
      <c r="F188" s="168"/>
      <c r="G188" s="209">
        <f>G189</f>
        <v>317393.60000000003</v>
      </c>
      <c r="H188" s="170">
        <f>H189</f>
        <v>241869.2</v>
      </c>
      <c r="I188" s="89"/>
    </row>
    <row r="189" spans="1:9" s="49" customFormat="1" ht="15.75">
      <c r="A189" s="179" t="s">
        <v>189</v>
      </c>
      <c r="B189" s="208" t="s">
        <v>215</v>
      </c>
      <c r="C189" s="167" t="s">
        <v>207</v>
      </c>
      <c r="D189" s="168" t="s">
        <v>234</v>
      </c>
      <c r="E189" s="167" t="s">
        <v>89</v>
      </c>
      <c r="F189" s="168"/>
      <c r="G189" s="209">
        <f>'Прилож №5'!H311+'Прилож №5'!H466</f>
        <v>317393.60000000003</v>
      </c>
      <c r="H189" s="170">
        <f>'Прилож №5'!I311</f>
        <v>241869.2</v>
      </c>
      <c r="I189" s="89"/>
    </row>
    <row r="190" spans="1:9" s="49" customFormat="1" ht="15.75">
      <c r="A190" s="183" t="s">
        <v>32</v>
      </c>
      <c r="B190" s="208" t="s">
        <v>215</v>
      </c>
      <c r="C190" s="167" t="s">
        <v>207</v>
      </c>
      <c r="D190" s="168" t="s">
        <v>33</v>
      </c>
      <c r="E190" s="167"/>
      <c r="F190" s="168"/>
      <c r="G190" s="209">
        <f>G191</f>
        <v>66676.5</v>
      </c>
      <c r="H190" s="170">
        <f>H191</f>
        <v>0</v>
      </c>
      <c r="I190" s="89"/>
    </row>
    <row r="191" spans="1:9" s="49" customFormat="1" ht="15.75">
      <c r="A191" s="183" t="s">
        <v>28</v>
      </c>
      <c r="B191" s="208" t="s">
        <v>215</v>
      </c>
      <c r="C191" s="167" t="s">
        <v>207</v>
      </c>
      <c r="D191" s="168" t="s">
        <v>235</v>
      </c>
      <c r="E191" s="167"/>
      <c r="F191" s="168"/>
      <c r="G191" s="209">
        <f>G192</f>
        <v>66676.5</v>
      </c>
      <c r="H191" s="170">
        <f>H192</f>
        <v>0</v>
      </c>
      <c r="I191" s="89"/>
    </row>
    <row r="192" spans="1:9" s="49" customFormat="1" ht="15.75">
      <c r="A192" s="179" t="s">
        <v>189</v>
      </c>
      <c r="B192" s="208" t="s">
        <v>215</v>
      </c>
      <c r="C192" s="167" t="s">
        <v>207</v>
      </c>
      <c r="D192" s="168" t="s">
        <v>235</v>
      </c>
      <c r="E192" s="167" t="s">
        <v>89</v>
      </c>
      <c r="F192" s="168"/>
      <c r="G192" s="209">
        <f>'Прилож №5'!H314+'Прилож №5'!H370+'Прилож №5'!H490+'Прилож №5'!H207</f>
        <v>66676.5</v>
      </c>
      <c r="H192" s="170">
        <f>'Прилож №5'!I314+'Прилож №5'!I370+'Прилож №5'!I490</f>
        <v>0</v>
      </c>
      <c r="I192" s="89"/>
    </row>
    <row r="193" spans="1:9" s="49" customFormat="1" ht="15.75">
      <c r="A193" s="27" t="s">
        <v>364</v>
      </c>
      <c r="B193" s="208" t="s">
        <v>215</v>
      </c>
      <c r="C193" s="167" t="s">
        <v>207</v>
      </c>
      <c r="D193" s="168" t="s">
        <v>365</v>
      </c>
      <c r="E193" s="167"/>
      <c r="F193" s="168"/>
      <c r="G193" s="209">
        <f>G194</f>
        <v>0</v>
      </c>
      <c r="H193" s="170">
        <f>H194</f>
        <v>0</v>
      </c>
      <c r="I193" s="89"/>
    </row>
    <row r="194" spans="1:9" s="49" customFormat="1" ht="15.75">
      <c r="A194" s="27" t="s">
        <v>28</v>
      </c>
      <c r="B194" s="208" t="s">
        <v>215</v>
      </c>
      <c r="C194" s="167" t="s">
        <v>207</v>
      </c>
      <c r="D194" s="168" t="s">
        <v>366</v>
      </c>
      <c r="E194" s="167"/>
      <c r="F194" s="168"/>
      <c r="G194" s="209">
        <f>G195</f>
        <v>0</v>
      </c>
      <c r="H194" s="170">
        <f>H195</f>
        <v>0</v>
      </c>
      <c r="I194" s="89"/>
    </row>
    <row r="195" spans="1:9" s="49" customFormat="1" ht="15.75">
      <c r="A195" s="26" t="s">
        <v>189</v>
      </c>
      <c r="B195" s="208" t="s">
        <v>215</v>
      </c>
      <c r="C195" s="167" t="s">
        <v>207</v>
      </c>
      <c r="D195" s="168" t="s">
        <v>366</v>
      </c>
      <c r="E195" s="167" t="s">
        <v>89</v>
      </c>
      <c r="F195" s="168"/>
      <c r="G195" s="209">
        <f>'Прилож №5'!H317</f>
        <v>0</v>
      </c>
      <c r="H195" s="170">
        <f>'Прилож №5'!I317</f>
        <v>0</v>
      </c>
      <c r="I195" s="89"/>
    </row>
    <row r="196" spans="1:9" s="49" customFormat="1" ht="15.75">
      <c r="A196" s="179" t="s">
        <v>320</v>
      </c>
      <c r="B196" s="208" t="s">
        <v>215</v>
      </c>
      <c r="C196" s="167" t="s">
        <v>207</v>
      </c>
      <c r="D196" s="168" t="s">
        <v>321</v>
      </c>
      <c r="E196" s="167"/>
      <c r="F196" s="168"/>
      <c r="G196" s="209">
        <f>G197</f>
        <v>7215.8</v>
      </c>
      <c r="H196" s="170">
        <f>H197</f>
        <v>7215.8</v>
      </c>
      <c r="I196" s="89"/>
    </row>
    <row r="197" spans="1:9" s="49" customFormat="1" ht="15.75">
      <c r="A197" s="179" t="s">
        <v>323</v>
      </c>
      <c r="B197" s="208" t="s">
        <v>215</v>
      </c>
      <c r="C197" s="167" t="s">
        <v>207</v>
      </c>
      <c r="D197" s="168" t="s">
        <v>322</v>
      </c>
      <c r="E197" s="167"/>
      <c r="F197" s="168"/>
      <c r="G197" s="209">
        <f>G198</f>
        <v>7215.8</v>
      </c>
      <c r="H197" s="170">
        <f>H198</f>
        <v>7215.8</v>
      </c>
      <c r="I197" s="89"/>
    </row>
    <row r="198" spans="1:9" s="49" customFormat="1" ht="15.75">
      <c r="A198" s="179" t="s">
        <v>324</v>
      </c>
      <c r="B198" s="208" t="s">
        <v>215</v>
      </c>
      <c r="C198" s="167" t="s">
        <v>207</v>
      </c>
      <c r="D198" s="168" t="s">
        <v>322</v>
      </c>
      <c r="E198" s="167" t="s">
        <v>325</v>
      </c>
      <c r="F198" s="168"/>
      <c r="G198" s="209">
        <f>'Прилож №5'!H320</f>
        <v>7215.8</v>
      </c>
      <c r="H198" s="170">
        <f>'Прилож №5'!I320</f>
        <v>7215.8</v>
      </c>
      <c r="I198" s="89"/>
    </row>
    <row r="199" spans="1:9" s="49" customFormat="1" ht="15.75">
      <c r="A199" s="179" t="s">
        <v>132</v>
      </c>
      <c r="B199" s="208" t="s">
        <v>215</v>
      </c>
      <c r="C199" s="167" t="s">
        <v>207</v>
      </c>
      <c r="D199" s="168" t="s">
        <v>100</v>
      </c>
      <c r="E199" s="167"/>
      <c r="F199" s="168"/>
      <c r="G199" s="209">
        <f>G200+G202</f>
        <v>11252</v>
      </c>
      <c r="H199" s="170">
        <f>H200+H202</f>
        <v>11252</v>
      </c>
      <c r="I199" s="89"/>
    </row>
    <row r="200" spans="1:9" s="49" customFormat="1" ht="15.75">
      <c r="A200" s="179" t="s">
        <v>102</v>
      </c>
      <c r="B200" s="208" t="s">
        <v>215</v>
      </c>
      <c r="C200" s="167" t="s">
        <v>207</v>
      </c>
      <c r="D200" s="168" t="s">
        <v>236</v>
      </c>
      <c r="E200" s="167"/>
      <c r="F200" s="168"/>
      <c r="G200" s="209">
        <f>G201</f>
        <v>3684</v>
      </c>
      <c r="H200" s="170">
        <f>H201</f>
        <v>3684</v>
      </c>
      <c r="I200" s="89"/>
    </row>
    <row r="201" spans="1:9" s="49" customFormat="1" ht="15.75">
      <c r="A201" s="179" t="s">
        <v>189</v>
      </c>
      <c r="B201" s="208" t="s">
        <v>215</v>
      </c>
      <c r="C201" s="167" t="s">
        <v>207</v>
      </c>
      <c r="D201" s="168" t="s">
        <v>236</v>
      </c>
      <c r="E201" s="167" t="s">
        <v>89</v>
      </c>
      <c r="F201" s="168"/>
      <c r="G201" s="209">
        <f>'Прилож №5'!H323</f>
        <v>3684</v>
      </c>
      <c r="H201" s="170">
        <f>'Прилож №5'!I323</f>
        <v>3684</v>
      </c>
      <c r="I201" s="89"/>
    </row>
    <row r="202" spans="1:9" s="49" customFormat="1" ht="26.25">
      <c r="A202" s="151" t="s">
        <v>387</v>
      </c>
      <c r="B202" s="208" t="s">
        <v>215</v>
      </c>
      <c r="C202" s="167" t="s">
        <v>207</v>
      </c>
      <c r="D202" s="168" t="s">
        <v>388</v>
      </c>
      <c r="E202" s="167"/>
      <c r="F202" s="168"/>
      <c r="G202" s="209">
        <f>G203</f>
        <v>7568</v>
      </c>
      <c r="H202" s="170">
        <f>H203</f>
        <v>7568</v>
      </c>
      <c r="I202" s="89"/>
    </row>
    <row r="203" spans="1:9" s="49" customFormat="1" ht="15.75">
      <c r="A203" s="179" t="s">
        <v>189</v>
      </c>
      <c r="B203" s="208" t="s">
        <v>215</v>
      </c>
      <c r="C203" s="167" t="s">
        <v>207</v>
      </c>
      <c r="D203" s="168" t="s">
        <v>388</v>
      </c>
      <c r="E203" s="167" t="s">
        <v>89</v>
      </c>
      <c r="F203" s="168"/>
      <c r="G203" s="209">
        <f>'Прилож №5'!H325</f>
        <v>7568</v>
      </c>
      <c r="H203" s="170">
        <f>'Прилож №5'!I325</f>
        <v>7568</v>
      </c>
      <c r="I203" s="89"/>
    </row>
    <row r="204" spans="1:9" s="49" customFormat="1" ht="15.75">
      <c r="A204" s="178" t="s">
        <v>30</v>
      </c>
      <c r="B204" s="206" t="s">
        <v>215</v>
      </c>
      <c r="C204" s="173" t="s">
        <v>215</v>
      </c>
      <c r="D204" s="174"/>
      <c r="E204" s="173"/>
      <c r="F204" s="174"/>
      <c r="G204" s="207">
        <f>G208+G205</f>
        <v>5872.6</v>
      </c>
      <c r="H204" s="176">
        <f>H208+H205</f>
        <v>0</v>
      </c>
      <c r="I204" s="89"/>
    </row>
    <row r="205" spans="1:9" s="49" customFormat="1" ht="15.75">
      <c r="A205" s="183" t="s">
        <v>95</v>
      </c>
      <c r="B205" s="208" t="s">
        <v>215</v>
      </c>
      <c r="C205" s="167" t="s">
        <v>215</v>
      </c>
      <c r="D205" s="168" t="s">
        <v>96</v>
      </c>
      <c r="E205" s="167"/>
      <c r="F205" s="168"/>
      <c r="G205" s="209">
        <f>G206</f>
        <v>2769</v>
      </c>
      <c r="H205" s="223">
        <f>H206</f>
        <v>0</v>
      </c>
      <c r="I205" s="89"/>
    </row>
    <row r="206" spans="1:9" s="49" customFormat="1" ht="15.75">
      <c r="A206" s="183" t="s">
        <v>97</v>
      </c>
      <c r="B206" s="208" t="s">
        <v>215</v>
      </c>
      <c r="C206" s="167" t="s">
        <v>215</v>
      </c>
      <c r="D206" s="168" t="s">
        <v>245</v>
      </c>
      <c r="E206" s="167"/>
      <c r="F206" s="168"/>
      <c r="G206" s="209">
        <f>G207</f>
        <v>2769</v>
      </c>
      <c r="H206" s="223">
        <f>H207</f>
        <v>0</v>
      </c>
      <c r="I206" s="89"/>
    </row>
    <row r="207" spans="1:9" s="49" customFormat="1" ht="15.75">
      <c r="A207" s="179" t="s">
        <v>189</v>
      </c>
      <c r="B207" s="208" t="s">
        <v>215</v>
      </c>
      <c r="C207" s="167" t="s">
        <v>215</v>
      </c>
      <c r="D207" s="168" t="s">
        <v>245</v>
      </c>
      <c r="E207" s="167" t="s">
        <v>89</v>
      </c>
      <c r="F207" s="168" t="s">
        <v>15</v>
      </c>
      <c r="G207" s="209">
        <f>'Прилож №5'!H494</f>
        <v>2769</v>
      </c>
      <c r="H207" s="223">
        <f>'Прилож №5'!I494</f>
        <v>0</v>
      </c>
      <c r="I207" s="89"/>
    </row>
    <row r="208" spans="1:9" s="49" customFormat="1" ht="15.75">
      <c r="A208" s="166" t="s">
        <v>246</v>
      </c>
      <c r="B208" s="208" t="s">
        <v>215</v>
      </c>
      <c r="C208" s="167" t="s">
        <v>215</v>
      </c>
      <c r="D208" s="168" t="s">
        <v>31</v>
      </c>
      <c r="E208" s="167"/>
      <c r="F208" s="168"/>
      <c r="G208" s="209">
        <f>G209</f>
        <v>3103.6</v>
      </c>
      <c r="H208" s="170">
        <f>H209</f>
        <v>0</v>
      </c>
      <c r="I208" s="89"/>
    </row>
    <row r="209" spans="1:9" s="49" customFormat="1" ht="15.75">
      <c r="A209" s="183" t="s">
        <v>247</v>
      </c>
      <c r="B209" s="208" t="s">
        <v>215</v>
      </c>
      <c r="C209" s="167" t="s">
        <v>215</v>
      </c>
      <c r="D209" s="168" t="s">
        <v>248</v>
      </c>
      <c r="E209" s="167"/>
      <c r="F209" s="168"/>
      <c r="G209" s="209">
        <f>G210</f>
        <v>3103.6</v>
      </c>
      <c r="H209" s="170">
        <f>H210</f>
        <v>0</v>
      </c>
      <c r="I209" s="89"/>
    </row>
    <row r="210" spans="1:9" s="49" customFormat="1" ht="15.75">
      <c r="A210" s="179" t="s">
        <v>189</v>
      </c>
      <c r="B210" s="208" t="s">
        <v>215</v>
      </c>
      <c r="C210" s="167" t="s">
        <v>215</v>
      </c>
      <c r="D210" s="168" t="s">
        <v>248</v>
      </c>
      <c r="E210" s="167" t="s">
        <v>89</v>
      </c>
      <c r="F210" s="168"/>
      <c r="G210" s="209">
        <f>'Прилож №5'!H329+'Прилож №5'!H497</f>
        <v>3103.6</v>
      </c>
      <c r="H210" s="170">
        <f>'Прилож №5'!I329+'Прилож №5'!I497</f>
        <v>0</v>
      </c>
      <c r="I210" s="89"/>
    </row>
    <row r="211" spans="1:9" s="49" customFormat="1" ht="15.75">
      <c r="A211" s="178" t="s">
        <v>34</v>
      </c>
      <c r="B211" s="206" t="s">
        <v>215</v>
      </c>
      <c r="C211" s="173" t="s">
        <v>213</v>
      </c>
      <c r="D211" s="174"/>
      <c r="E211" s="173"/>
      <c r="F211" s="174"/>
      <c r="G211" s="207">
        <f>G212+G222+G225+G215</f>
        <v>41170</v>
      </c>
      <c r="H211" s="176">
        <f>H212+H222+H225+H215</f>
        <v>4424</v>
      </c>
      <c r="I211" s="89"/>
    </row>
    <row r="212" spans="1:9" s="49" customFormat="1" ht="15.75">
      <c r="A212" s="166" t="s">
        <v>160</v>
      </c>
      <c r="B212" s="208" t="s">
        <v>215</v>
      </c>
      <c r="C212" s="167" t="s">
        <v>213</v>
      </c>
      <c r="D212" s="168" t="s">
        <v>327</v>
      </c>
      <c r="E212" s="167"/>
      <c r="F212" s="168"/>
      <c r="G212" s="209">
        <f>G213</f>
        <v>12028</v>
      </c>
      <c r="H212" s="170">
        <f>H213</f>
        <v>0</v>
      </c>
      <c r="I212" s="89"/>
    </row>
    <row r="213" spans="1:9" s="49" customFormat="1" ht="15.75">
      <c r="A213" s="171" t="s">
        <v>52</v>
      </c>
      <c r="B213" s="208" t="s">
        <v>215</v>
      </c>
      <c r="C213" s="167" t="s">
        <v>213</v>
      </c>
      <c r="D213" s="168" t="s">
        <v>332</v>
      </c>
      <c r="E213" s="167"/>
      <c r="F213" s="168"/>
      <c r="G213" s="209">
        <f>G214</f>
        <v>12028</v>
      </c>
      <c r="H213" s="170">
        <f>H214</f>
        <v>0</v>
      </c>
      <c r="I213" s="89"/>
    </row>
    <row r="214" spans="1:9" s="49" customFormat="1" ht="15.75">
      <c r="A214" s="171" t="s">
        <v>159</v>
      </c>
      <c r="B214" s="208" t="s">
        <v>215</v>
      </c>
      <c r="C214" s="167" t="s">
        <v>213</v>
      </c>
      <c r="D214" s="168" t="s">
        <v>332</v>
      </c>
      <c r="E214" s="167" t="s">
        <v>139</v>
      </c>
      <c r="F214" s="168"/>
      <c r="G214" s="209">
        <f>'Прилож №5'!H333</f>
        <v>12028</v>
      </c>
      <c r="H214" s="170">
        <f>'Прилож №5'!I333</f>
        <v>0</v>
      </c>
      <c r="I214" s="89"/>
    </row>
    <row r="215" spans="1:9" s="49" customFormat="1" ht="15.75">
      <c r="A215" s="273" t="s">
        <v>320</v>
      </c>
      <c r="B215" s="208" t="s">
        <v>215</v>
      </c>
      <c r="C215" s="167" t="s">
        <v>213</v>
      </c>
      <c r="D215" s="168" t="s">
        <v>321</v>
      </c>
      <c r="E215" s="167"/>
      <c r="F215" s="168"/>
      <c r="G215" s="209">
        <f>G216+G218+G220</f>
        <v>3991</v>
      </c>
      <c r="H215" s="170">
        <f>H216+H218+H220</f>
        <v>3991</v>
      </c>
      <c r="I215" s="89"/>
    </row>
    <row r="216" spans="1:9" s="49" customFormat="1" ht="15.75">
      <c r="A216" s="273" t="s">
        <v>389</v>
      </c>
      <c r="B216" s="208" t="s">
        <v>215</v>
      </c>
      <c r="C216" s="167" t="s">
        <v>213</v>
      </c>
      <c r="D216" s="168" t="s">
        <v>391</v>
      </c>
      <c r="E216" s="167"/>
      <c r="F216" s="168"/>
      <c r="G216" s="209">
        <f>G217</f>
        <v>1584</v>
      </c>
      <c r="H216" s="170">
        <f>H217</f>
        <v>1584</v>
      </c>
      <c r="I216" s="89"/>
    </row>
    <row r="217" spans="1:9" s="49" customFormat="1" ht="15.75">
      <c r="A217" s="273" t="s">
        <v>189</v>
      </c>
      <c r="B217" s="208" t="s">
        <v>215</v>
      </c>
      <c r="C217" s="167" t="s">
        <v>213</v>
      </c>
      <c r="D217" s="168" t="s">
        <v>391</v>
      </c>
      <c r="E217" s="167" t="s">
        <v>89</v>
      </c>
      <c r="F217" s="168"/>
      <c r="G217" s="209">
        <f>'Прилож №5'!H336</f>
        <v>1584</v>
      </c>
      <c r="H217" s="170">
        <f>'Прилож №5'!I336</f>
        <v>1584</v>
      </c>
      <c r="I217" s="89"/>
    </row>
    <row r="218" spans="1:9" s="49" customFormat="1" ht="15.75">
      <c r="A218" s="93" t="s">
        <v>398</v>
      </c>
      <c r="B218" s="208" t="s">
        <v>215</v>
      </c>
      <c r="C218" s="167" t="s">
        <v>213</v>
      </c>
      <c r="D218" s="168" t="s">
        <v>397</v>
      </c>
      <c r="E218" s="167"/>
      <c r="F218" s="168"/>
      <c r="G218" s="209">
        <f>G219</f>
        <v>40</v>
      </c>
      <c r="H218" s="170">
        <f>H219</f>
        <v>40</v>
      </c>
      <c r="I218" s="89"/>
    </row>
    <row r="219" spans="1:9" s="49" customFormat="1" ht="15.75">
      <c r="A219" s="93" t="s">
        <v>189</v>
      </c>
      <c r="B219" s="208" t="s">
        <v>215</v>
      </c>
      <c r="C219" s="167" t="s">
        <v>213</v>
      </c>
      <c r="D219" s="168" t="s">
        <v>397</v>
      </c>
      <c r="E219" s="167" t="s">
        <v>89</v>
      </c>
      <c r="F219" s="168"/>
      <c r="G219" s="209">
        <f>'Прилож №5'!H338</f>
        <v>40</v>
      </c>
      <c r="H219" s="170">
        <f>'Прилож №5'!I338</f>
        <v>40</v>
      </c>
      <c r="I219" s="89"/>
    </row>
    <row r="220" spans="1:9" s="49" customFormat="1" ht="15.75">
      <c r="A220" s="93" t="s">
        <v>407</v>
      </c>
      <c r="B220" s="208" t="s">
        <v>215</v>
      </c>
      <c r="C220" s="167" t="s">
        <v>213</v>
      </c>
      <c r="D220" s="168" t="s">
        <v>408</v>
      </c>
      <c r="E220" s="167"/>
      <c r="F220" s="168"/>
      <c r="G220" s="209">
        <f>G221</f>
        <v>2367</v>
      </c>
      <c r="H220" s="170">
        <f>H221</f>
        <v>2367</v>
      </c>
      <c r="I220" s="89"/>
    </row>
    <row r="221" spans="1:9" s="49" customFormat="1" ht="15.75">
      <c r="A221" s="93" t="s">
        <v>189</v>
      </c>
      <c r="B221" s="208" t="s">
        <v>215</v>
      </c>
      <c r="C221" s="167" t="s">
        <v>213</v>
      </c>
      <c r="D221" s="168" t="s">
        <v>408</v>
      </c>
      <c r="E221" s="167" t="s">
        <v>89</v>
      </c>
      <c r="F221" s="168"/>
      <c r="G221" s="209">
        <f>'Прилож №5'!H340</f>
        <v>2367</v>
      </c>
      <c r="H221" s="170">
        <f>'Прилож №5'!I340</f>
        <v>2367</v>
      </c>
      <c r="I221" s="89"/>
    </row>
    <row r="222" spans="1:9" s="49" customFormat="1" ht="60">
      <c r="A222" s="201" t="s">
        <v>117</v>
      </c>
      <c r="B222" s="208" t="s">
        <v>215</v>
      </c>
      <c r="C222" s="167" t="s">
        <v>213</v>
      </c>
      <c r="D222" s="168" t="s">
        <v>41</v>
      </c>
      <c r="E222" s="167"/>
      <c r="F222" s="168"/>
      <c r="G222" s="209">
        <f>G223</f>
        <v>10835</v>
      </c>
      <c r="H222" s="170">
        <f>H223</f>
        <v>433</v>
      </c>
      <c r="I222" s="89"/>
    </row>
    <row r="223" spans="1:9" s="49" customFormat="1" ht="15.75">
      <c r="A223" s="183" t="s">
        <v>28</v>
      </c>
      <c r="B223" s="208" t="s">
        <v>215</v>
      </c>
      <c r="C223" s="167" t="s">
        <v>213</v>
      </c>
      <c r="D223" s="168" t="s">
        <v>249</v>
      </c>
      <c r="E223" s="167"/>
      <c r="F223" s="168"/>
      <c r="G223" s="209">
        <f>G224</f>
        <v>10835</v>
      </c>
      <c r="H223" s="170">
        <f>H224</f>
        <v>433</v>
      </c>
      <c r="I223" s="89"/>
    </row>
    <row r="224" spans="1:9" s="49" customFormat="1" ht="15.75">
      <c r="A224" s="179" t="s">
        <v>189</v>
      </c>
      <c r="B224" s="208" t="s">
        <v>215</v>
      </c>
      <c r="C224" s="167" t="s">
        <v>213</v>
      </c>
      <c r="D224" s="168" t="s">
        <v>249</v>
      </c>
      <c r="E224" s="167" t="s">
        <v>89</v>
      </c>
      <c r="F224" s="168"/>
      <c r="G224" s="209">
        <f>'Прилож №5'!H343</f>
        <v>10835</v>
      </c>
      <c r="H224" s="170">
        <f>'Прилож №5'!I343</f>
        <v>433</v>
      </c>
      <c r="I224" s="89"/>
    </row>
    <row r="225" spans="1:9" s="49" customFormat="1" ht="15.75">
      <c r="A225" s="183" t="s">
        <v>143</v>
      </c>
      <c r="B225" s="288" t="s">
        <v>215</v>
      </c>
      <c r="C225" s="197" t="s">
        <v>213</v>
      </c>
      <c r="D225" s="198" t="s">
        <v>144</v>
      </c>
      <c r="E225" s="197"/>
      <c r="F225" s="198"/>
      <c r="G225" s="215">
        <f>G226+G228</f>
        <v>14316</v>
      </c>
      <c r="H225" s="199">
        <f>H226+H228</f>
        <v>0</v>
      </c>
      <c r="I225" s="89"/>
    </row>
    <row r="226" spans="1:9" s="49" customFormat="1" ht="30.75" thickBot="1">
      <c r="A226" s="166" t="s">
        <v>250</v>
      </c>
      <c r="B226" s="291" t="s">
        <v>215</v>
      </c>
      <c r="C226" s="225" t="s">
        <v>213</v>
      </c>
      <c r="D226" s="224" t="s">
        <v>251</v>
      </c>
      <c r="E226" s="225"/>
      <c r="F226" s="224"/>
      <c r="G226" s="282">
        <f>G227</f>
        <v>12631</v>
      </c>
      <c r="H226" s="226">
        <f>H227</f>
        <v>0</v>
      </c>
      <c r="I226" s="89"/>
    </row>
    <row r="227" spans="1:9" s="49" customFormat="1" ht="16.5" thickBot="1">
      <c r="A227" s="183" t="s">
        <v>189</v>
      </c>
      <c r="B227" s="291" t="s">
        <v>215</v>
      </c>
      <c r="C227" s="225" t="s">
        <v>213</v>
      </c>
      <c r="D227" s="224" t="s">
        <v>251</v>
      </c>
      <c r="E227" s="225" t="s">
        <v>89</v>
      </c>
      <c r="F227" s="224"/>
      <c r="G227" s="282">
        <f>'Прилож №5'!H346</f>
        <v>12631</v>
      </c>
      <c r="H227" s="226">
        <f>'Прилож №5'!I346</f>
        <v>0</v>
      </c>
      <c r="I227" s="89"/>
    </row>
    <row r="228" spans="1:9" s="49" customFormat="1" ht="30.75" thickBot="1">
      <c r="A228" s="166" t="s">
        <v>252</v>
      </c>
      <c r="B228" s="291" t="s">
        <v>215</v>
      </c>
      <c r="C228" s="225" t="s">
        <v>213</v>
      </c>
      <c r="D228" s="224" t="s">
        <v>253</v>
      </c>
      <c r="E228" s="225"/>
      <c r="F228" s="224"/>
      <c r="G228" s="282">
        <f>G229</f>
        <v>1685</v>
      </c>
      <c r="H228" s="226">
        <f>H229</f>
        <v>0</v>
      </c>
      <c r="I228" s="89"/>
    </row>
    <row r="229" spans="1:9" s="49" customFormat="1" ht="16.5" thickBot="1">
      <c r="A229" s="183" t="s">
        <v>189</v>
      </c>
      <c r="B229" s="291" t="s">
        <v>215</v>
      </c>
      <c r="C229" s="225" t="s">
        <v>213</v>
      </c>
      <c r="D229" s="224" t="s">
        <v>253</v>
      </c>
      <c r="E229" s="225" t="s">
        <v>89</v>
      </c>
      <c r="F229" s="224"/>
      <c r="G229" s="282">
        <f>'Прилож №5'!H500</f>
        <v>1685</v>
      </c>
      <c r="H229" s="226">
        <f>'Прилож №5'!I500</f>
        <v>0</v>
      </c>
      <c r="I229" s="89"/>
    </row>
    <row r="230" spans="1:9" s="49" customFormat="1" ht="16.5" thickBot="1">
      <c r="A230" s="274" t="s">
        <v>123</v>
      </c>
      <c r="B230" s="286" t="s">
        <v>216</v>
      </c>
      <c r="C230" s="186" t="s">
        <v>133</v>
      </c>
      <c r="D230" s="187"/>
      <c r="E230" s="186"/>
      <c r="F230" s="212"/>
      <c r="G230" s="202">
        <f>G231+G256+G260+G252</f>
        <v>95411.80000000002</v>
      </c>
      <c r="H230" s="188">
        <f>H231+H256+H260</f>
        <v>167</v>
      </c>
      <c r="I230" s="89"/>
    </row>
    <row r="231" spans="1:9" s="49" customFormat="1" ht="15.75">
      <c r="A231" s="177" t="s">
        <v>35</v>
      </c>
      <c r="B231" s="290" t="s">
        <v>216</v>
      </c>
      <c r="C231" s="220" t="s">
        <v>206</v>
      </c>
      <c r="D231" s="163"/>
      <c r="E231" s="220"/>
      <c r="F231" s="163" t="s">
        <v>10</v>
      </c>
      <c r="G231" s="231">
        <f>G232+G235+G238+G241+G244+G249</f>
        <v>81769.70000000001</v>
      </c>
      <c r="H231" s="221">
        <f>H232+H235+H238+H241+H244+H249</f>
        <v>167</v>
      </c>
      <c r="I231" s="89"/>
    </row>
    <row r="232" spans="1:9" s="49" customFormat="1" ht="30">
      <c r="A232" s="166" t="s">
        <v>126</v>
      </c>
      <c r="B232" s="208" t="s">
        <v>216</v>
      </c>
      <c r="C232" s="167" t="s">
        <v>206</v>
      </c>
      <c r="D232" s="168" t="s">
        <v>36</v>
      </c>
      <c r="E232" s="167"/>
      <c r="F232" s="168" t="s">
        <v>11</v>
      </c>
      <c r="G232" s="209">
        <f>G233</f>
        <v>37714.1</v>
      </c>
      <c r="H232" s="170">
        <f>H233</f>
        <v>0</v>
      </c>
      <c r="I232" s="89"/>
    </row>
    <row r="233" spans="1:9" s="49" customFormat="1" ht="15.75">
      <c r="A233" s="179" t="s">
        <v>28</v>
      </c>
      <c r="B233" s="208" t="s">
        <v>216</v>
      </c>
      <c r="C233" s="167" t="s">
        <v>206</v>
      </c>
      <c r="D233" s="168" t="s">
        <v>254</v>
      </c>
      <c r="E233" s="167"/>
      <c r="F233" s="168"/>
      <c r="G233" s="209">
        <f>G234</f>
        <v>37714.1</v>
      </c>
      <c r="H233" s="170">
        <f>H234</f>
        <v>0</v>
      </c>
      <c r="I233" s="89"/>
    </row>
    <row r="234" spans="1:9" s="49" customFormat="1" ht="15.75">
      <c r="A234" s="183" t="s">
        <v>189</v>
      </c>
      <c r="B234" s="208" t="s">
        <v>216</v>
      </c>
      <c r="C234" s="167" t="s">
        <v>206</v>
      </c>
      <c r="D234" s="168" t="s">
        <v>254</v>
      </c>
      <c r="E234" s="167" t="s">
        <v>89</v>
      </c>
      <c r="F234" s="168"/>
      <c r="G234" s="209">
        <f>'Прилож №5'!H375+'Прилож №5'!H470</f>
        <v>37714.1</v>
      </c>
      <c r="H234" s="170">
        <f>'Прилож №5'!I375</f>
        <v>0</v>
      </c>
      <c r="I234" s="89"/>
    </row>
    <row r="235" spans="1:9" s="49" customFormat="1" ht="15.75">
      <c r="A235" s="183" t="s">
        <v>13</v>
      </c>
      <c r="B235" s="208" t="s">
        <v>216</v>
      </c>
      <c r="C235" s="167" t="s">
        <v>206</v>
      </c>
      <c r="D235" s="168" t="s">
        <v>37</v>
      </c>
      <c r="E235" s="167"/>
      <c r="F235" s="168"/>
      <c r="G235" s="209">
        <f>G236</f>
        <v>3698.2999999999997</v>
      </c>
      <c r="H235" s="170">
        <f>H236</f>
        <v>0</v>
      </c>
      <c r="I235" s="89"/>
    </row>
    <row r="236" spans="1:9" s="49" customFormat="1" ht="15.75">
      <c r="A236" s="179" t="s">
        <v>28</v>
      </c>
      <c r="B236" s="208" t="s">
        <v>216</v>
      </c>
      <c r="C236" s="167" t="s">
        <v>206</v>
      </c>
      <c r="D236" s="168" t="s">
        <v>255</v>
      </c>
      <c r="E236" s="167"/>
      <c r="F236" s="168"/>
      <c r="G236" s="209">
        <f>G237</f>
        <v>3698.2999999999997</v>
      </c>
      <c r="H236" s="170">
        <f>H237</f>
        <v>0</v>
      </c>
      <c r="I236" s="89"/>
    </row>
    <row r="237" spans="1:9" s="49" customFormat="1" ht="15.75">
      <c r="A237" s="183" t="s">
        <v>189</v>
      </c>
      <c r="B237" s="208" t="s">
        <v>216</v>
      </c>
      <c r="C237" s="167" t="s">
        <v>206</v>
      </c>
      <c r="D237" s="168" t="s">
        <v>255</v>
      </c>
      <c r="E237" s="167" t="s">
        <v>89</v>
      </c>
      <c r="F237" s="168"/>
      <c r="G237" s="209">
        <f>'Прилож №5'!H378</f>
        <v>3698.2999999999997</v>
      </c>
      <c r="H237" s="170">
        <f>'Прилож №5'!I378</f>
        <v>0</v>
      </c>
      <c r="I237" s="89"/>
    </row>
    <row r="238" spans="1:9" s="49" customFormat="1" ht="15.75">
      <c r="A238" s="183" t="s">
        <v>14</v>
      </c>
      <c r="B238" s="208" t="s">
        <v>216</v>
      </c>
      <c r="C238" s="167" t="s">
        <v>206</v>
      </c>
      <c r="D238" s="168" t="s">
        <v>38</v>
      </c>
      <c r="E238" s="167"/>
      <c r="F238" s="168"/>
      <c r="G238" s="209">
        <f>G239</f>
        <v>9741.900000000001</v>
      </c>
      <c r="H238" s="170">
        <f>H239</f>
        <v>0</v>
      </c>
      <c r="I238" s="89"/>
    </row>
    <row r="239" spans="1:9" s="49" customFormat="1" ht="15.75">
      <c r="A239" s="179" t="s">
        <v>28</v>
      </c>
      <c r="B239" s="208" t="s">
        <v>216</v>
      </c>
      <c r="C239" s="167" t="s">
        <v>206</v>
      </c>
      <c r="D239" s="168" t="s">
        <v>256</v>
      </c>
      <c r="E239" s="167"/>
      <c r="F239" s="168"/>
      <c r="G239" s="209">
        <f>G240</f>
        <v>9741.900000000001</v>
      </c>
      <c r="H239" s="170">
        <f>H240</f>
        <v>0</v>
      </c>
      <c r="I239" s="89"/>
    </row>
    <row r="240" spans="1:9" s="49" customFormat="1" ht="15.75">
      <c r="A240" s="183" t="s">
        <v>189</v>
      </c>
      <c r="B240" s="208" t="s">
        <v>216</v>
      </c>
      <c r="C240" s="167" t="s">
        <v>206</v>
      </c>
      <c r="D240" s="168" t="s">
        <v>256</v>
      </c>
      <c r="E240" s="167" t="s">
        <v>89</v>
      </c>
      <c r="F240" s="168"/>
      <c r="G240" s="209">
        <f>'Прилож №5'!H381</f>
        <v>9741.900000000001</v>
      </c>
      <c r="H240" s="170">
        <f>'Прилож №5'!I381</f>
        <v>0</v>
      </c>
      <c r="I240" s="89"/>
    </row>
    <row r="241" spans="1:9" s="49" customFormat="1" ht="30">
      <c r="A241" s="166" t="s">
        <v>118</v>
      </c>
      <c r="B241" s="208" t="s">
        <v>216</v>
      </c>
      <c r="C241" s="167" t="s">
        <v>206</v>
      </c>
      <c r="D241" s="168" t="s">
        <v>39</v>
      </c>
      <c r="E241" s="167"/>
      <c r="F241" s="168"/>
      <c r="G241" s="209">
        <f>G242</f>
        <v>17461.300000000003</v>
      </c>
      <c r="H241" s="170">
        <f>H242</f>
        <v>0</v>
      </c>
      <c r="I241" s="89"/>
    </row>
    <row r="242" spans="1:9" s="49" customFormat="1" ht="15.75">
      <c r="A242" s="179" t="s">
        <v>28</v>
      </c>
      <c r="B242" s="208" t="s">
        <v>216</v>
      </c>
      <c r="C242" s="167" t="s">
        <v>206</v>
      </c>
      <c r="D242" s="168" t="s">
        <v>257</v>
      </c>
      <c r="E242" s="167"/>
      <c r="F242" s="168"/>
      <c r="G242" s="209">
        <f>G243</f>
        <v>17461.300000000003</v>
      </c>
      <c r="H242" s="170">
        <f>H243</f>
        <v>0</v>
      </c>
      <c r="I242" s="89"/>
    </row>
    <row r="243" spans="1:9" s="49" customFormat="1" ht="15.75">
      <c r="A243" s="183" t="s">
        <v>189</v>
      </c>
      <c r="B243" s="208" t="s">
        <v>216</v>
      </c>
      <c r="C243" s="167" t="s">
        <v>206</v>
      </c>
      <c r="D243" s="181" t="s">
        <v>257</v>
      </c>
      <c r="E243" s="167" t="s">
        <v>89</v>
      </c>
      <c r="F243" s="181"/>
      <c r="G243" s="209">
        <f>'Прилож №5'!H384</f>
        <v>17461.300000000003</v>
      </c>
      <c r="H243" s="170">
        <f>'Прилож №5'!I384</f>
        <v>0</v>
      </c>
      <c r="I243" s="89"/>
    </row>
    <row r="244" spans="1:9" s="49" customFormat="1" ht="30">
      <c r="A244" s="166" t="s">
        <v>106</v>
      </c>
      <c r="B244" s="208" t="s">
        <v>216</v>
      </c>
      <c r="C244" s="167" t="s">
        <v>206</v>
      </c>
      <c r="D244" s="181" t="s">
        <v>40</v>
      </c>
      <c r="E244" s="167"/>
      <c r="F244" s="181" t="s">
        <v>12</v>
      </c>
      <c r="G244" s="209">
        <f>G247+G245</f>
        <v>7866.1</v>
      </c>
      <c r="H244" s="209">
        <f>H247+H245</f>
        <v>167</v>
      </c>
      <c r="I244" s="89"/>
    </row>
    <row r="245" spans="1:9" s="49" customFormat="1" ht="15.75">
      <c r="A245" s="47" t="s">
        <v>419</v>
      </c>
      <c r="B245" s="208" t="s">
        <v>216</v>
      </c>
      <c r="C245" s="167" t="s">
        <v>206</v>
      </c>
      <c r="D245" s="181" t="s">
        <v>420</v>
      </c>
      <c r="E245" s="180"/>
      <c r="F245" s="181"/>
      <c r="G245" s="209">
        <f>G246</f>
        <v>167</v>
      </c>
      <c r="H245" s="209">
        <f>H246</f>
        <v>167</v>
      </c>
      <c r="I245" s="89"/>
    </row>
    <row r="246" spans="1:9" s="49" customFormat="1" ht="15.75">
      <c r="A246" s="47" t="s">
        <v>189</v>
      </c>
      <c r="B246" s="208" t="s">
        <v>216</v>
      </c>
      <c r="C246" s="167" t="s">
        <v>206</v>
      </c>
      <c r="D246" s="181" t="s">
        <v>420</v>
      </c>
      <c r="E246" s="180" t="s">
        <v>89</v>
      </c>
      <c r="F246" s="181"/>
      <c r="G246" s="209">
        <f>'Прилож №5'!H387</f>
        <v>167</v>
      </c>
      <c r="H246" s="209">
        <f>'Прилож №5'!I387</f>
        <v>167</v>
      </c>
      <c r="I246" s="89"/>
    </row>
    <row r="247" spans="1:9" s="49" customFormat="1" ht="30">
      <c r="A247" s="201" t="s">
        <v>107</v>
      </c>
      <c r="B247" s="208" t="s">
        <v>216</v>
      </c>
      <c r="C247" s="167" t="s">
        <v>206</v>
      </c>
      <c r="D247" s="181" t="s">
        <v>258</v>
      </c>
      <c r="E247" s="180"/>
      <c r="F247" s="181"/>
      <c r="G247" s="209">
        <f>G248</f>
        <v>7699.1</v>
      </c>
      <c r="H247" s="170">
        <f>H248</f>
        <v>0</v>
      </c>
      <c r="I247" s="89"/>
    </row>
    <row r="248" spans="1:9" s="49" customFormat="1" ht="15.75">
      <c r="A248" s="183" t="s">
        <v>189</v>
      </c>
      <c r="B248" s="208" t="s">
        <v>216</v>
      </c>
      <c r="C248" s="167" t="s">
        <v>206</v>
      </c>
      <c r="D248" s="181" t="s">
        <v>258</v>
      </c>
      <c r="E248" s="180" t="s">
        <v>89</v>
      </c>
      <c r="F248" s="181"/>
      <c r="G248" s="209">
        <f>'Прилож №5'!H389+'Прилож №5'!H415+'Прилож №5'!H473+'Прилож №5'!H212+'Прилож №5'!H351</f>
        <v>7699.1</v>
      </c>
      <c r="H248" s="170">
        <f>'Прилож №5'!I389+'Прилож №5'!I415</f>
        <v>0</v>
      </c>
      <c r="I248" s="89"/>
    </row>
    <row r="249" spans="1:9" s="49" customFormat="1" ht="15.75">
      <c r="A249" s="183" t="s">
        <v>143</v>
      </c>
      <c r="B249" s="208" t="s">
        <v>216</v>
      </c>
      <c r="C249" s="180" t="s">
        <v>206</v>
      </c>
      <c r="D249" s="181" t="s">
        <v>144</v>
      </c>
      <c r="E249" s="180"/>
      <c r="F249" s="181"/>
      <c r="G249" s="209">
        <f>G250</f>
        <v>5288</v>
      </c>
      <c r="H249" s="170">
        <f>H250</f>
        <v>0</v>
      </c>
      <c r="I249" s="89"/>
    </row>
    <row r="250" spans="1:9" s="49" customFormat="1" ht="30">
      <c r="A250" s="166" t="s">
        <v>423</v>
      </c>
      <c r="B250" s="208" t="s">
        <v>216</v>
      </c>
      <c r="C250" s="180" t="s">
        <v>206</v>
      </c>
      <c r="D250" s="181" t="s">
        <v>290</v>
      </c>
      <c r="E250" s="180"/>
      <c r="F250" s="181"/>
      <c r="G250" s="209">
        <f>G251</f>
        <v>5288</v>
      </c>
      <c r="H250" s="170">
        <f>H251</f>
        <v>0</v>
      </c>
      <c r="I250" s="89"/>
    </row>
    <row r="251" spans="1:9" s="49" customFormat="1" ht="15.75">
      <c r="A251" s="183" t="s">
        <v>189</v>
      </c>
      <c r="B251" s="208" t="s">
        <v>216</v>
      </c>
      <c r="C251" s="180" t="s">
        <v>206</v>
      </c>
      <c r="D251" s="181" t="s">
        <v>290</v>
      </c>
      <c r="E251" s="180" t="s">
        <v>89</v>
      </c>
      <c r="F251" s="181"/>
      <c r="G251" s="209">
        <f>'Прилож №5'!H392</f>
        <v>5288</v>
      </c>
      <c r="H251" s="170"/>
      <c r="I251" s="89"/>
    </row>
    <row r="252" spans="1:9" s="24" customFormat="1" ht="15.75">
      <c r="A252" s="125" t="s">
        <v>384</v>
      </c>
      <c r="B252" s="206" t="s">
        <v>216</v>
      </c>
      <c r="C252" s="200" t="s">
        <v>212</v>
      </c>
      <c r="D252" s="222"/>
      <c r="E252" s="200"/>
      <c r="F252" s="222"/>
      <c r="G252" s="207">
        <f>G253</f>
        <v>3525.8</v>
      </c>
      <c r="H252" s="176"/>
      <c r="I252" s="123"/>
    </row>
    <row r="253" spans="1:9" s="49" customFormat="1" ht="26.25">
      <c r="A253" s="48" t="s">
        <v>106</v>
      </c>
      <c r="B253" s="208" t="s">
        <v>216</v>
      </c>
      <c r="C253" s="180" t="s">
        <v>212</v>
      </c>
      <c r="D253" s="181" t="s">
        <v>40</v>
      </c>
      <c r="E253" s="180"/>
      <c r="F253" s="181"/>
      <c r="G253" s="209">
        <f>G254</f>
        <v>3525.8</v>
      </c>
      <c r="H253" s="170"/>
      <c r="I253" s="89"/>
    </row>
    <row r="254" spans="1:9" s="49" customFormat="1" ht="26.25">
      <c r="A254" s="47" t="s">
        <v>107</v>
      </c>
      <c r="B254" s="208" t="s">
        <v>216</v>
      </c>
      <c r="C254" s="180" t="s">
        <v>212</v>
      </c>
      <c r="D254" s="181" t="s">
        <v>258</v>
      </c>
      <c r="E254" s="180"/>
      <c r="F254" s="181"/>
      <c r="G254" s="209">
        <f>G255</f>
        <v>3525.8</v>
      </c>
      <c r="H254" s="170"/>
      <c r="I254" s="89"/>
    </row>
    <row r="255" spans="1:9" s="49" customFormat="1" ht="15.75">
      <c r="A255" s="8" t="s">
        <v>189</v>
      </c>
      <c r="B255" s="208" t="s">
        <v>216</v>
      </c>
      <c r="C255" s="180" t="s">
        <v>212</v>
      </c>
      <c r="D255" s="181" t="s">
        <v>258</v>
      </c>
      <c r="E255" s="180" t="s">
        <v>89</v>
      </c>
      <c r="F255" s="181"/>
      <c r="G255" s="209">
        <f>'Прилож №5'!H216</f>
        <v>3525.8</v>
      </c>
      <c r="H255" s="170"/>
      <c r="I255" s="89"/>
    </row>
    <row r="256" spans="1:9" s="49" customFormat="1" ht="15.75">
      <c r="A256" s="178" t="s">
        <v>16</v>
      </c>
      <c r="B256" s="206" t="s">
        <v>216</v>
      </c>
      <c r="C256" s="173" t="s">
        <v>208</v>
      </c>
      <c r="D256" s="174"/>
      <c r="E256" s="173"/>
      <c r="F256" s="174"/>
      <c r="G256" s="207">
        <f aca="true" t="shared" si="12" ref="G256:H258">G257</f>
        <v>3054.2</v>
      </c>
      <c r="H256" s="176">
        <f t="shared" si="12"/>
        <v>0</v>
      </c>
      <c r="I256" s="89"/>
    </row>
    <row r="257" spans="1:9" s="49" customFormat="1" ht="30">
      <c r="A257" s="166" t="s">
        <v>106</v>
      </c>
      <c r="B257" s="208" t="s">
        <v>216</v>
      </c>
      <c r="C257" s="180" t="s">
        <v>208</v>
      </c>
      <c r="D257" s="181" t="s">
        <v>40</v>
      </c>
      <c r="E257" s="180"/>
      <c r="F257" s="168"/>
      <c r="G257" s="209">
        <f t="shared" si="12"/>
        <v>3054.2</v>
      </c>
      <c r="H257" s="170">
        <f t="shared" si="12"/>
        <v>0</v>
      </c>
      <c r="I257" s="89"/>
    </row>
    <row r="258" spans="1:9" s="49" customFormat="1" ht="30">
      <c r="A258" s="201" t="s">
        <v>107</v>
      </c>
      <c r="B258" s="208" t="s">
        <v>216</v>
      </c>
      <c r="C258" s="180" t="s">
        <v>208</v>
      </c>
      <c r="D258" s="181" t="s">
        <v>258</v>
      </c>
      <c r="E258" s="180"/>
      <c r="F258" s="168"/>
      <c r="G258" s="209">
        <f t="shared" si="12"/>
        <v>3054.2</v>
      </c>
      <c r="H258" s="170">
        <f t="shared" si="12"/>
        <v>0</v>
      </c>
      <c r="I258" s="89"/>
    </row>
    <row r="259" spans="1:9" s="49" customFormat="1" ht="15.75">
      <c r="A259" s="183" t="s">
        <v>189</v>
      </c>
      <c r="B259" s="208" t="s">
        <v>216</v>
      </c>
      <c r="C259" s="180" t="s">
        <v>208</v>
      </c>
      <c r="D259" s="181" t="s">
        <v>258</v>
      </c>
      <c r="E259" s="180" t="s">
        <v>89</v>
      </c>
      <c r="F259" s="181"/>
      <c r="G259" s="211">
        <f>'Прилож №5'!H220</f>
        <v>3054.2</v>
      </c>
      <c r="H259" s="182">
        <f>'Прилож №5'!I220</f>
        <v>0</v>
      </c>
      <c r="I259" s="89"/>
    </row>
    <row r="260" spans="1:9" s="49" customFormat="1" ht="29.25">
      <c r="A260" s="172" t="s">
        <v>119</v>
      </c>
      <c r="B260" s="292" t="s">
        <v>216</v>
      </c>
      <c r="C260" s="200" t="s">
        <v>228</v>
      </c>
      <c r="D260" s="222" t="s">
        <v>49</v>
      </c>
      <c r="E260" s="200" t="s">
        <v>51</v>
      </c>
      <c r="F260" s="222"/>
      <c r="G260" s="283">
        <f>G261+G264</f>
        <v>7062.1</v>
      </c>
      <c r="H260" s="227">
        <f>H261+H264</f>
        <v>0</v>
      </c>
      <c r="I260" s="89"/>
    </row>
    <row r="261" spans="1:9" s="49" customFormat="1" ht="18" customHeight="1">
      <c r="A261" s="166" t="s">
        <v>160</v>
      </c>
      <c r="B261" s="208" t="s">
        <v>216</v>
      </c>
      <c r="C261" s="167" t="s">
        <v>228</v>
      </c>
      <c r="D261" s="168" t="s">
        <v>327</v>
      </c>
      <c r="E261" s="167"/>
      <c r="F261" s="181"/>
      <c r="G261" s="211">
        <f>G262</f>
        <v>4566.5</v>
      </c>
      <c r="H261" s="182">
        <f>H262</f>
        <v>0</v>
      </c>
      <c r="I261" s="89"/>
    </row>
    <row r="262" spans="1:9" s="49" customFormat="1" ht="15.75">
      <c r="A262" s="171" t="s">
        <v>52</v>
      </c>
      <c r="B262" s="208" t="s">
        <v>216</v>
      </c>
      <c r="C262" s="167" t="s">
        <v>228</v>
      </c>
      <c r="D262" s="168" t="s">
        <v>332</v>
      </c>
      <c r="E262" s="167"/>
      <c r="F262" s="181"/>
      <c r="G262" s="211">
        <f>G263</f>
        <v>4566.5</v>
      </c>
      <c r="H262" s="182">
        <f>H263</f>
        <v>0</v>
      </c>
      <c r="I262" s="89"/>
    </row>
    <row r="263" spans="1:9" s="49" customFormat="1" ht="15.75">
      <c r="A263" s="171" t="s">
        <v>159</v>
      </c>
      <c r="B263" s="208" t="s">
        <v>216</v>
      </c>
      <c r="C263" s="167" t="s">
        <v>228</v>
      </c>
      <c r="D263" s="168" t="s">
        <v>332</v>
      </c>
      <c r="E263" s="167" t="s">
        <v>329</v>
      </c>
      <c r="F263" s="181"/>
      <c r="G263" s="211">
        <f>'Прилож №5'!H396</f>
        <v>4566.5</v>
      </c>
      <c r="H263" s="182">
        <f>'Прилож №5'!I396</f>
        <v>0</v>
      </c>
      <c r="I263" s="89"/>
    </row>
    <row r="264" spans="1:9" s="49" customFormat="1" ht="60">
      <c r="A264" s="201" t="s">
        <v>117</v>
      </c>
      <c r="B264" s="208" t="s">
        <v>216</v>
      </c>
      <c r="C264" s="167" t="s">
        <v>228</v>
      </c>
      <c r="D264" s="168" t="s">
        <v>41</v>
      </c>
      <c r="E264" s="167"/>
      <c r="F264" s="168"/>
      <c r="G264" s="209">
        <f>G265</f>
        <v>2495.6</v>
      </c>
      <c r="H264" s="170">
        <f>H265</f>
        <v>0</v>
      </c>
      <c r="I264" s="89"/>
    </row>
    <row r="265" spans="1:9" s="49" customFormat="1" ht="15.75">
      <c r="A265" s="183" t="s">
        <v>28</v>
      </c>
      <c r="B265" s="208" t="s">
        <v>216</v>
      </c>
      <c r="C265" s="167" t="s">
        <v>228</v>
      </c>
      <c r="D265" s="168" t="s">
        <v>249</v>
      </c>
      <c r="E265" s="167"/>
      <c r="F265" s="168"/>
      <c r="G265" s="209">
        <f>G266</f>
        <v>2495.6</v>
      </c>
      <c r="H265" s="170">
        <f>H266</f>
        <v>0</v>
      </c>
      <c r="I265" s="89"/>
    </row>
    <row r="266" spans="1:9" s="49" customFormat="1" ht="16.5" thickBot="1">
      <c r="A266" s="179" t="s">
        <v>189</v>
      </c>
      <c r="B266" s="208" t="s">
        <v>216</v>
      </c>
      <c r="C266" s="167" t="s">
        <v>228</v>
      </c>
      <c r="D266" s="168" t="s">
        <v>249</v>
      </c>
      <c r="E266" s="167" t="s">
        <v>89</v>
      </c>
      <c r="F266" s="168"/>
      <c r="G266" s="209">
        <f>'Прилож №5'!H399</f>
        <v>2495.6</v>
      </c>
      <c r="H266" s="170">
        <f>'Прилож №5'!I399</f>
        <v>0</v>
      </c>
      <c r="I266" s="89"/>
    </row>
    <row r="267" spans="1:9" s="49" customFormat="1" ht="16.5" thickBot="1">
      <c r="A267" s="185" t="s">
        <v>259</v>
      </c>
      <c r="B267" s="286" t="s">
        <v>213</v>
      </c>
      <c r="C267" s="186" t="s">
        <v>133</v>
      </c>
      <c r="D267" s="187"/>
      <c r="E267" s="186"/>
      <c r="F267" s="212"/>
      <c r="G267" s="202">
        <f>G268+G279+G283+G297</f>
        <v>630363.7000000001</v>
      </c>
      <c r="H267" s="188">
        <f>H268+H279+H283+H297</f>
        <v>193043.7</v>
      </c>
      <c r="I267" s="89"/>
    </row>
    <row r="268" spans="1:9" s="49" customFormat="1" ht="16.5" thickBot="1">
      <c r="A268" s="185" t="s">
        <v>260</v>
      </c>
      <c r="B268" s="286" t="s">
        <v>213</v>
      </c>
      <c r="C268" s="186" t="s">
        <v>206</v>
      </c>
      <c r="D268" s="187"/>
      <c r="E268" s="186"/>
      <c r="F268" s="187"/>
      <c r="G268" s="202">
        <f>G269+G273+G276</f>
        <v>548848.1000000001</v>
      </c>
      <c r="H268" s="188">
        <f>H269+H273+H276</f>
        <v>193043.7</v>
      </c>
      <c r="I268" s="89"/>
    </row>
    <row r="269" spans="1:9" s="49" customFormat="1" ht="30">
      <c r="A269" s="214" t="s">
        <v>229</v>
      </c>
      <c r="B269" s="302" t="s">
        <v>213</v>
      </c>
      <c r="C269" s="197" t="s">
        <v>206</v>
      </c>
      <c r="D269" s="198" t="s">
        <v>74</v>
      </c>
      <c r="E269" s="197"/>
      <c r="F269" s="297"/>
      <c r="G269" s="284">
        <f aca="true" t="shared" si="13" ref="G269:H271">G270</f>
        <v>275312.7</v>
      </c>
      <c r="H269" s="228">
        <f t="shared" si="13"/>
        <v>180689.7</v>
      </c>
      <c r="I269" s="89"/>
    </row>
    <row r="270" spans="1:9" s="49" customFormat="1" ht="57.75" customHeight="1">
      <c r="A270" s="214" t="s">
        <v>230</v>
      </c>
      <c r="B270" s="208" t="s">
        <v>213</v>
      </c>
      <c r="C270" s="197" t="s">
        <v>206</v>
      </c>
      <c r="D270" s="198" t="s">
        <v>231</v>
      </c>
      <c r="E270" s="197"/>
      <c r="F270" s="163"/>
      <c r="G270" s="215">
        <f t="shared" si="13"/>
        <v>275312.7</v>
      </c>
      <c r="H270" s="199">
        <f t="shared" si="13"/>
        <v>180689.7</v>
      </c>
      <c r="I270" s="89"/>
    </row>
    <row r="271" spans="1:9" s="49" customFormat="1" ht="33" customHeight="1">
      <c r="A271" s="214" t="s">
        <v>279</v>
      </c>
      <c r="B271" s="302" t="s">
        <v>213</v>
      </c>
      <c r="C271" s="197" t="s">
        <v>206</v>
      </c>
      <c r="D271" s="198" t="s">
        <v>280</v>
      </c>
      <c r="E271" s="197"/>
      <c r="F271" s="163"/>
      <c r="G271" s="215">
        <f t="shared" si="13"/>
        <v>275312.7</v>
      </c>
      <c r="H271" s="199">
        <f t="shared" si="13"/>
        <v>180689.7</v>
      </c>
      <c r="I271" s="89"/>
    </row>
    <row r="272" spans="1:9" s="49" customFormat="1" ht="15.75">
      <c r="A272" s="214" t="s">
        <v>232</v>
      </c>
      <c r="B272" s="302" t="s">
        <v>213</v>
      </c>
      <c r="C272" s="197" t="s">
        <v>206</v>
      </c>
      <c r="D272" s="198" t="s">
        <v>280</v>
      </c>
      <c r="E272" s="197" t="s">
        <v>69</v>
      </c>
      <c r="F272" s="163"/>
      <c r="G272" s="215">
        <f>'Прилож №5'!H226+'Прилож №5'!H230+'Прилож №5'!H234+'Прилож №5'!H238+'Прилож №5'!H421</f>
        <v>275312.7</v>
      </c>
      <c r="H272" s="199">
        <f>'Прилож №5'!I226</f>
        <v>180689.7</v>
      </c>
      <c r="I272" s="89"/>
    </row>
    <row r="273" spans="1:9" s="49" customFormat="1" ht="15.75">
      <c r="A273" s="183" t="s">
        <v>42</v>
      </c>
      <c r="B273" s="288" t="s">
        <v>213</v>
      </c>
      <c r="C273" s="197" t="s">
        <v>206</v>
      </c>
      <c r="D273" s="168" t="s">
        <v>43</v>
      </c>
      <c r="E273" s="167"/>
      <c r="F273" s="168"/>
      <c r="G273" s="209">
        <f>G274</f>
        <v>270982.9</v>
      </c>
      <c r="H273" s="170">
        <f>H274</f>
        <v>10412</v>
      </c>
      <c r="I273" s="89"/>
    </row>
    <row r="274" spans="1:9" s="49" customFormat="1" ht="15.75">
      <c r="A274" s="179" t="s">
        <v>28</v>
      </c>
      <c r="B274" s="288" t="s">
        <v>213</v>
      </c>
      <c r="C274" s="197" t="s">
        <v>206</v>
      </c>
      <c r="D274" s="168" t="s">
        <v>261</v>
      </c>
      <c r="E274" s="167"/>
      <c r="F274" s="168"/>
      <c r="G274" s="209">
        <f>G275</f>
        <v>270982.9</v>
      </c>
      <c r="H274" s="170">
        <f>H275</f>
        <v>10412</v>
      </c>
      <c r="I274" s="89"/>
    </row>
    <row r="275" spans="1:9" s="49" customFormat="1" ht="15.75">
      <c r="A275" s="179" t="s">
        <v>189</v>
      </c>
      <c r="B275" s="288" t="s">
        <v>213</v>
      </c>
      <c r="C275" s="197" t="s">
        <v>206</v>
      </c>
      <c r="D275" s="168" t="s">
        <v>261</v>
      </c>
      <c r="E275" s="167" t="s">
        <v>89</v>
      </c>
      <c r="F275" s="168"/>
      <c r="G275" s="209">
        <f>'Прилож №5'!H424+'Прилож №5'!H241+'Прилож №5'!H478</f>
        <v>270982.9</v>
      </c>
      <c r="H275" s="170">
        <f>'Прилож №5'!I424</f>
        <v>10412</v>
      </c>
      <c r="I275" s="89"/>
    </row>
    <row r="276" spans="1:9" s="49" customFormat="1" ht="15.75">
      <c r="A276" s="27" t="s">
        <v>132</v>
      </c>
      <c r="B276" s="288" t="s">
        <v>213</v>
      </c>
      <c r="C276" s="197" t="s">
        <v>206</v>
      </c>
      <c r="D276" s="168" t="s">
        <v>100</v>
      </c>
      <c r="E276" s="167"/>
      <c r="F276" s="168"/>
      <c r="G276" s="209">
        <f>G277</f>
        <v>2552.5</v>
      </c>
      <c r="H276" s="170">
        <f>H277</f>
        <v>1942</v>
      </c>
      <c r="I276" s="89"/>
    </row>
    <row r="277" spans="1:9" s="49" customFormat="1" ht="15.75">
      <c r="A277" s="27" t="s">
        <v>333</v>
      </c>
      <c r="B277" s="288" t="s">
        <v>213</v>
      </c>
      <c r="C277" s="197" t="s">
        <v>206</v>
      </c>
      <c r="D277" s="168" t="s">
        <v>334</v>
      </c>
      <c r="E277" s="167"/>
      <c r="F277" s="168"/>
      <c r="G277" s="209">
        <f>G278</f>
        <v>2552.5</v>
      </c>
      <c r="H277" s="170">
        <f>H278</f>
        <v>1942</v>
      </c>
      <c r="I277" s="89"/>
    </row>
    <row r="278" spans="1:9" s="49" customFormat="1" ht="15.75">
      <c r="A278" s="27" t="s">
        <v>189</v>
      </c>
      <c r="B278" s="288" t="s">
        <v>213</v>
      </c>
      <c r="C278" s="197" t="s">
        <v>206</v>
      </c>
      <c r="D278" s="168" t="s">
        <v>334</v>
      </c>
      <c r="E278" s="167" t="s">
        <v>89</v>
      </c>
      <c r="F278" s="168"/>
      <c r="G278" s="209">
        <f>'Прилож №5'!H427</f>
        <v>2552.5</v>
      </c>
      <c r="H278" s="170">
        <f>'Прилож №5'!I427</f>
        <v>1942</v>
      </c>
      <c r="I278" s="89"/>
    </row>
    <row r="279" spans="1:9" s="24" customFormat="1" ht="29.25">
      <c r="A279" s="229" t="s">
        <v>262</v>
      </c>
      <c r="B279" s="290" t="s">
        <v>213</v>
      </c>
      <c r="C279" s="220" t="s">
        <v>228</v>
      </c>
      <c r="D279" s="174"/>
      <c r="E279" s="173"/>
      <c r="F279" s="174"/>
      <c r="G279" s="207">
        <f aca="true" t="shared" si="14" ref="G279:H281">G280</f>
        <v>165</v>
      </c>
      <c r="H279" s="176">
        <f t="shared" si="14"/>
        <v>0</v>
      </c>
      <c r="I279" s="123"/>
    </row>
    <row r="280" spans="1:9" s="49" customFormat="1" ht="15.75">
      <c r="A280" s="179" t="s">
        <v>263</v>
      </c>
      <c r="B280" s="288" t="s">
        <v>213</v>
      </c>
      <c r="C280" s="197" t="s">
        <v>228</v>
      </c>
      <c r="D280" s="168" t="s">
        <v>73</v>
      </c>
      <c r="E280" s="167"/>
      <c r="F280" s="168"/>
      <c r="G280" s="209">
        <f t="shared" si="14"/>
        <v>165</v>
      </c>
      <c r="H280" s="170">
        <f t="shared" si="14"/>
        <v>0</v>
      </c>
      <c r="I280" s="89"/>
    </row>
    <row r="281" spans="1:9" s="49" customFormat="1" ht="15.75">
      <c r="A281" s="179" t="s">
        <v>28</v>
      </c>
      <c r="B281" s="288" t="s">
        <v>213</v>
      </c>
      <c r="C281" s="197" t="s">
        <v>228</v>
      </c>
      <c r="D281" s="168" t="s">
        <v>264</v>
      </c>
      <c r="E281" s="167"/>
      <c r="F281" s="298" t="s">
        <v>51</v>
      </c>
      <c r="G281" s="209">
        <f t="shared" si="14"/>
        <v>165</v>
      </c>
      <c r="H281" s="170">
        <f t="shared" si="14"/>
        <v>0</v>
      </c>
      <c r="I281" s="89"/>
    </row>
    <row r="282" spans="1:9" s="49" customFormat="1" ht="15.75">
      <c r="A282" s="179" t="s">
        <v>189</v>
      </c>
      <c r="B282" s="288" t="s">
        <v>213</v>
      </c>
      <c r="C282" s="197" t="s">
        <v>228</v>
      </c>
      <c r="D282" s="168" t="s">
        <v>264</v>
      </c>
      <c r="E282" s="167" t="s">
        <v>89</v>
      </c>
      <c r="F282" s="299">
        <v>624</v>
      </c>
      <c r="G282" s="209">
        <f>'Прилож №5'!H431</f>
        <v>165</v>
      </c>
      <c r="H282" s="170"/>
      <c r="I282" s="89"/>
    </row>
    <row r="283" spans="1:9" s="24" customFormat="1" ht="15.75">
      <c r="A283" s="178" t="s">
        <v>265</v>
      </c>
      <c r="B283" s="290" t="s">
        <v>213</v>
      </c>
      <c r="C283" s="173" t="s">
        <v>216</v>
      </c>
      <c r="D283" s="174"/>
      <c r="E283" s="173"/>
      <c r="F283" s="174"/>
      <c r="G283" s="207">
        <f>G288+G291+G284+G294</f>
        <v>71970.9</v>
      </c>
      <c r="H283" s="176">
        <f>H288+H291+H284+H294</f>
        <v>0</v>
      </c>
      <c r="I283" s="123"/>
    </row>
    <row r="284" spans="1:9" s="49" customFormat="1" ht="30">
      <c r="A284" s="214" t="s">
        <v>229</v>
      </c>
      <c r="B284" s="302" t="s">
        <v>213</v>
      </c>
      <c r="C284" s="197" t="s">
        <v>216</v>
      </c>
      <c r="D284" s="198" t="s">
        <v>74</v>
      </c>
      <c r="E284" s="197"/>
      <c r="F284" s="168"/>
      <c r="G284" s="209">
        <f aca="true" t="shared" si="15" ref="G284:H286">G285</f>
        <v>60000</v>
      </c>
      <c r="H284" s="170">
        <f t="shared" si="15"/>
        <v>0</v>
      </c>
      <c r="I284" s="89"/>
    </row>
    <row r="285" spans="1:9" s="49" customFormat="1" ht="36.75" customHeight="1">
      <c r="A285" s="214" t="s">
        <v>326</v>
      </c>
      <c r="B285" s="302" t="s">
        <v>213</v>
      </c>
      <c r="C285" s="197" t="s">
        <v>216</v>
      </c>
      <c r="D285" s="198" t="s">
        <v>231</v>
      </c>
      <c r="E285" s="197"/>
      <c r="F285" s="168"/>
      <c r="G285" s="209">
        <f t="shared" si="15"/>
        <v>60000</v>
      </c>
      <c r="H285" s="170">
        <f t="shared" si="15"/>
        <v>0</v>
      </c>
      <c r="I285" s="89"/>
    </row>
    <row r="286" spans="1:9" s="49" customFormat="1" ht="32.25" customHeight="1">
      <c r="A286" s="214" t="s">
        <v>279</v>
      </c>
      <c r="B286" s="302" t="s">
        <v>213</v>
      </c>
      <c r="C286" s="197" t="s">
        <v>216</v>
      </c>
      <c r="D286" s="198" t="s">
        <v>280</v>
      </c>
      <c r="E286" s="197"/>
      <c r="F286" s="168"/>
      <c r="G286" s="209">
        <f t="shared" si="15"/>
        <v>60000</v>
      </c>
      <c r="H286" s="170">
        <f t="shared" si="15"/>
        <v>0</v>
      </c>
      <c r="I286" s="89"/>
    </row>
    <row r="287" spans="1:9" s="49" customFormat="1" ht="15.75">
      <c r="A287" s="214" t="s">
        <v>232</v>
      </c>
      <c r="B287" s="302" t="s">
        <v>213</v>
      </c>
      <c r="C287" s="197" t="s">
        <v>216</v>
      </c>
      <c r="D287" s="198" t="s">
        <v>280</v>
      </c>
      <c r="E287" s="197" t="s">
        <v>69</v>
      </c>
      <c r="F287" s="168"/>
      <c r="G287" s="209">
        <f>'Прилож №5'!H246+'Прилож №5'!H250</f>
        <v>60000</v>
      </c>
      <c r="H287" s="170">
        <f>'Прилож №5'!I246</f>
        <v>0</v>
      </c>
      <c r="I287" s="89"/>
    </row>
    <row r="288" spans="1:9" s="49" customFormat="1" ht="15.75">
      <c r="A288" s="183" t="s">
        <v>81</v>
      </c>
      <c r="B288" s="288" t="s">
        <v>213</v>
      </c>
      <c r="C288" s="167" t="s">
        <v>216</v>
      </c>
      <c r="D288" s="181" t="s">
        <v>82</v>
      </c>
      <c r="E288" s="180"/>
      <c r="F288" s="168"/>
      <c r="G288" s="209">
        <f>G289</f>
        <v>8348.9</v>
      </c>
      <c r="H288" s="170">
        <f>H289</f>
        <v>0</v>
      </c>
      <c r="I288" s="89"/>
    </row>
    <row r="289" spans="1:9" s="49" customFormat="1" ht="15.75">
      <c r="A289" s="179" t="s">
        <v>28</v>
      </c>
      <c r="B289" s="288" t="s">
        <v>213</v>
      </c>
      <c r="C289" s="167" t="s">
        <v>216</v>
      </c>
      <c r="D289" s="181" t="s">
        <v>266</v>
      </c>
      <c r="E289" s="180"/>
      <c r="F289" s="168"/>
      <c r="G289" s="209">
        <f>G290</f>
        <v>8348.9</v>
      </c>
      <c r="H289" s="170">
        <f>H290</f>
        <v>0</v>
      </c>
      <c r="I289" s="89"/>
    </row>
    <row r="290" spans="1:9" s="49" customFormat="1" ht="15.75">
      <c r="A290" s="179" t="s">
        <v>189</v>
      </c>
      <c r="B290" s="288" t="s">
        <v>213</v>
      </c>
      <c r="C290" s="167" t="s">
        <v>216</v>
      </c>
      <c r="D290" s="181" t="s">
        <v>266</v>
      </c>
      <c r="E290" s="180" t="s">
        <v>89</v>
      </c>
      <c r="F290" s="168"/>
      <c r="G290" s="209">
        <f>'Прилож №5'!H505</f>
        <v>8348.9</v>
      </c>
      <c r="H290" s="170">
        <f>'Прилож №5'!I505</f>
        <v>0</v>
      </c>
      <c r="I290" s="89"/>
    </row>
    <row r="291" spans="1:9" s="49" customFormat="1" ht="13.5" customHeight="1">
      <c r="A291" s="166" t="s">
        <v>120</v>
      </c>
      <c r="B291" s="288" t="s">
        <v>213</v>
      </c>
      <c r="C291" s="167" t="s">
        <v>216</v>
      </c>
      <c r="D291" s="168" t="s">
        <v>44</v>
      </c>
      <c r="E291" s="180"/>
      <c r="F291" s="168"/>
      <c r="G291" s="209">
        <f>G292</f>
        <v>1461.3</v>
      </c>
      <c r="H291" s="170">
        <f>H292</f>
        <v>0</v>
      </c>
      <c r="I291" s="89"/>
    </row>
    <row r="292" spans="1:9" s="49" customFormat="1" ht="15.75">
      <c r="A292" s="166" t="s">
        <v>267</v>
      </c>
      <c r="B292" s="288" t="s">
        <v>213</v>
      </c>
      <c r="C292" s="167" t="s">
        <v>216</v>
      </c>
      <c r="D292" s="168" t="s">
        <v>268</v>
      </c>
      <c r="E292" s="167"/>
      <c r="F292" s="168"/>
      <c r="G292" s="209">
        <f>G293</f>
        <v>1461.3</v>
      </c>
      <c r="H292" s="170">
        <f>H293</f>
        <v>0</v>
      </c>
      <c r="I292" s="89"/>
    </row>
    <row r="293" spans="1:9" s="49" customFormat="1" ht="15.75">
      <c r="A293" s="179" t="s">
        <v>189</v>
      </c>
      <c r="B293" s="288" t="s">
        <v>213</v>
      </c>
      <c r="C293" s="167" t="s">
        <v>216</v>
      </c>
      <c r="D293" s="181" t="s">
        <v>268</v>
      </c>
      <c r="E293" s="180" t="s">
        <v>89</v>
      </c>
      <c r="F293" s="168"/>
      <c r="G293" s="209">
        <f>'Прилож №5'!H508</f>
        <v>1461.3</v>
      </c>
      <c r="H293" s="170">
        <f>'Прилож №5'!I508</f>
        <v>0</v>
      </c>
      <c r="I293" s="89"/>
    </row>
    <row r="294" spans="1:9" s="49" customFormat="1" ht="15.75">
      <c r="A294" s="183" t="s">
        <v>143</v>
      </c>
      <c r="B294" s="288" t="s">
        <v>213</v>
      </c>
      <c r="C294" s="167" t="s">
        <v>216</v>
      </c>
      <c r="D294" s="181" t="s">
        <v>144</v>
      </c>
      <c r="E294" s="180"/>
      <c r="F294" s="168"/>
      <c r="G294" s="209">
        <f>G295</f>
        <v>2160.7</v>
      </c>
      <c r="H294" s="170"/>
      <c r="I294" s="89"/>
    </row>
    <row r="295" spans="1:9" s="49" customFormat="1" ht="30">
      <c r="A295" s="166" t="s">
        <v>316</v>
      </c>
      <c r="B295" s="288" t="s">
        <v>213</v>
      </c>
      <c r="C295" s="167" t="s">
        <v>216</v>
      </c>
      <c r="D295" s="181" t="s">
        <v>298</v>
      </c>
      <c r="E295" s="180"/>
      <c r="F295" s="168"/>
      <c r="G295" s="209">
        <f>G296</f>
        <v>2160.7</v>
      </c>
      <c r="H295" s="170"/>
      <c r="I295" s="89"/>
    </row>
    <row r="296" spans="1:9" s="49" customFormat="1" ht="15.75">
      <c r="A296" s="183" t="s">
        <v>189</v>
      </c>
      <c r="B296" s="288" t="s">
        <v>213</v>
      </c>
      <c r="C296" s="167" t="s">
        <v>216</v>
      </c>
      <c r="D296" s="181" t="s">
        <v>298</v>
      </c>
      <c r="E296" s="180" t="s">
        <v>89</v>
      </c>
      <c r="F296" s="168"/>
      <c r="G296" s="209">
        <f>'Прилож №5'!H511</f>
        <v>2160.7</v>
      </c>
      <c r="H296" s="170"/>
      <c r="I296" s="89"/>
    </row>
    <row r="297" spans="1:9" s="49" customFormat="1" ht="29.25">
      <c r="A297" s="172" t="s">
        <v>269</v>
      </c>
      <c r="B297" s="288" t="s">
        <v>213</v>
      </c>
      <c r="C297" s="173" t="s">
        <v>214</v>
      </c>
      <c r="D297" s="222"/>
      <c r="E297" s="200"/>
      <c r="F297" s="174"/>
      <c r="G297" s="207">
        <f aca="true" t="shared" si="16" ref="G297:H299">G298</f>
        <v>9379.699999999999</v>
      </c>
      <c r="H297" s="176">
        <f t="shared" si="16"/>
        <v>0</v>
      </c>
      <c r="I297" s="89"/>
    </row>
    <row r="298" spans="1:9" s="49" customFormat="1" ht="18" customHeight="1">
      <c r="A298" s="166" t="s">
        <v>160</v>
      </c>
      <c r="B298" s="208" t="s">
        <v>213</v>
      </c>
      <c r="C298" s="167" t="s">
        <v>214</v>
      </c>
      <c r="D298" s="168" t="s">
        <v>327</v>
      </c>
      <c r="E298" s="167"/>
      <c r="F298" s="168"/>
      <c r="G298" s="209">
        <f t="shared" si="16"/>
        <v>9379.699999999999</v>
      </c>
      <c r="H298" s="170">
        <f t="shared" si="16"/>
        <v>0</v>
      </c>
      <c r="I298" s="89"/>
    </row>
    <row r="299" spans="1:9" s="49" customFormat="1" ht="15.75">
      <c r="A299" s="171" t="s">
        <v>52</v>
      </c>
      <c r="B299" s="208" t="s">
        <v>213</v>
      </c>
      <c r="C299" s="167" t="s">
        <v>214</v>
      </c>
      <c r="D299" s="168" t="s">
        <v>332</v>
      </c>
      <c r="E299" s="167"/>
      <c r="F299" s="168"/>
      <c r="G299" s="209">
        <f t="shared" si="16"/>
        <v>9379.699999999999</v>
      </c>
      <c r="H299" s="170">
        <f t="shared" si="16"/>
        <v>0</v>
      </c>
      <c r="I299" s="89"/>
    </row>
    <row r="300" spans="1:9" s="49" customFormat="1" ht="16.5" thickBot="1">
      <c r="A300" s="171" t="s">
        <v>159</v>
      </c>
      <c r="B300" s="208" t="s">
        <v>213</v>
      </c>
      <c r="C300" s="167" t="s">
        <v>214</v>
      </c>
      <c r="D300" s="168" t="s">
        <v>332</v>
      </c>
      <c r="E300" s="167" t="s">
        <v>329</v>
      </c>
      <c r="F300" s="181"/>
      <c r="G300" s="203">
        <f>'Прилож №5'!H515</f>
        <v>9379.699999999999</v>
      </c>
      <c r="H300" s="170">
        <f>'Прилож №5'!I515</f>
        <v>0</v>
      </c>
      <c r="I300" s="89"/>
    </row>
    <row r="301" spans="1:9" s="49" customFormat="1" ht="16.5" thickBot="1">
      <c r="A301" s="185" t="s">
        <v>5</v>
      </c>
      <c r="B301" s="286" t="s">
        <v>214</v>
      </c>
      <c r="C301" s="186" t="s">
        <v>133</v>
      </c>
      <c r="D301" s="187"/>
      <c r="E301" s="186"/>
      <c r="F301" s="212"/>
      <c r="G301" s="202">
        <f>G302+G306+G335</f>
        <v>77794.7</v>
      </c>
      <c r="H301" s="188">
        <f>H302+H306+H335</f>
        <v>65522.3</v>
      </c>
      <c r="I301" s="89"/>
    </row>
    <row r="302" spans="1:9" s="49" customFormat="1" ht="15.75">
      <c r="A302" s="177" t="s">
        <v>48</v>
      </c>
      <c r="B302" s="285" t="s">
        <v>214</v>
      </c>
      <c r="C302" s="162" t="s">
        <v>206</v>
      </c>
      <c r="D302" s="303"/>
      <c r="E302" s="230"/>
      <c r="F302" s="163"/>
      <c r="G302" s="231">
        <f aca="true" t="shared" si="17" ref="G302:H304">G303</f>
        <v>730</v>
      </c>
      <c r="H302" s="165">
        <f t="shared" si="17"/>
        <v>0</v>
      </c>
      <c r="I302" s="89"/>
    </row>
    <row r="303" spans="1:9" s="49" customFormat="1" ht="15.75">
      <c r="A303" s="183" t="s">
        <v>270</v>
      </c>
      <c r="B303" s="208" t="s">
        <v>214</v>
      </c>
      <c r="C303" s="167" t="s">
        <v>206</v>
      </c>
      <c r="D303" s="168" t="s">
        <v>271</v>
      </c>
      <c r="E303" s="180"/>
      <c r="F303" s="168"/>
      <c r="G303" s="209">
        <f t="shared" si="17"/>
        <v>730</v>
      </c>
      <c r="H303" s="170">
        <f t="shared" si="17"/>
        <v>0</v>
      </c>
      <c r="I303" s="89"/>
    </row>
    <row r="304" spans="1:9" s="49" customFormat="1" ht="30">
      <c r="A304" s="166" t="s">
        <v>121</v>
      </c>
      <c r="B304" s="208" t="s">
        <v>214</v>
      </c>
      <c r="C304" s="167" t="s">
        <v>206</v>
      </c>
      <c r="D304" s="168" t="s">
        <v>272</v>
      </c>
      <c r="E304" s="180"/>
      <c r="F304" s="168"/>
      <c r="G304" s="209">
        <f t="shared" si="17"/>
        <v>730</v>
      </c>
      <c r="H304" s="170">
        <f t="shared" si="17"/>
        <v>0</v>
      </c>
      <c r="I304" s="89"/>
    </row>
    <row r="305" spans="1:9" s="49" customFormat="1" ht="15.75">
      <c r="A305" s="166" t="s">
        <v>185</v>
      </c>
      <c r="B305" s="208" t="s">
        <v>214</v>
      </c>
      <c r="C305" s="167" t="s">
        <v>206</v>
      </c>
      <c r="D305" s="168" t="s">
        <v>272</v>
      </c>
      <c r="E305" s="180" t="s">
        <v>53</v>
      </c>
      <c r="F305" s="168"/>
      <c r="G305" s="209">
        <f>'Прилож №5'!H255</f>
        <v>730</v>
      </c>
      <c r="H305" s="170">
        <f>'Прилож №5'!I255</f>
        <v>0</v>
      </c>
      <c r="I305" s="89"/>
    </row>
    <row r="306" spans="1:9" s="49" customFormat="1" ht="15.75">
      <c r="A306" s="178" t="s">
        <v>101</v>
      </c>
      <c r="B306" s="206" t="s">
        <v>214</v>
      </c>
      <c r="C306" s="173" t="s">
        <v>212</v>
      </c>
      <c r="D306" s="174"/>
      <c r="E306" s="173"/>
      <c r="F306" s="232"/>
      <c r="G306" s="207">
        <f>G310+G320+G330+G326+G307</f>
        <v>71064.7</v>
      </c>
      <c r="H306" s="207">
        <f>H310+H320+H330+H326+H307</f>
        <v>65522.3</v>
      </c>
      <c r="I306" s="89"/>
    </row>
    <row r="307" spans="1:9" s="49" customFormat="1" ht="15.75">
      <c r="A307" s="26" t="s">
        <v>357</v>
      </c>
      <c r="B307" s="208" t="s">
        <v>214</v>
      </c>
      <c r="C307" s="167" t="s">
        <v>212</v>
      </c>
      <c r="D307" s="168" t="s">
        <v>358</v>
      </c>
      <c r="E307" s="167"/>
      <c r="F307" s="233"/>
      <c r="G307" s="209">
        <f>G308</f>
        <v>3167</v>
      </c>
      <c r="H307" s="209">
        <f>H308</f>
        <v>2687</v>
      </c>
      <c r="I307" s="89"/>
    </row>
    <row r="308" spans="1:9" s="49" customFormat="1" ht="15.75">
      <c r="A308" s="26" t="s">
        <v>355</v>
      </c>
      <c r="B308" s="208" t="s">
        <v>214</v>
      </c>
      <c r="C308" s="167" t="s">
        <v>212</v>
      </c>
      <c r="D308" s="168" t="s">
        <v>359</v>
      </c>
      <c r="E308" s="167"/>
      <c r="F308" s="233"/>
      <c r="G308" s="209">
        <f>G309</f>
        <v>3167</v>
      </c>
      <c r="H308" s="209">
        <f>H309</f>
        <v>2687</v>
      </c>
      <c r="I308" s="89"/>
    </row>
    <row r="309" spans="1:9" s="49" customFormat="1" ht="15.75">
      <c r="A309" s="26" t="s">
        <v>385</v>
      </c>
      <c r="B309" s="208" t="s">
        <v>214</v>
      </c>
      <c r="C309" s="167" t="s">
        <v>212</v>
      </c>
      <c r="D309" s="168" t="s">
        <v>359</v>
      </c>
      <c r="E309" s="167" t="s">
        <v>386</v>
      </c>
      <c r="F309" s="233"/>
      <c r="G309" s="209">
        <f>'Прилож №5'!H259</f>
        <v>3167</v>
      </c>
      <c r="H309" s="209">
        <f>'Прилож №5'!I259</f>
        <v>2687</v>
      </c>
      <c r="I309" s="89"/>
    </row>
    <row r="310" spans="1:9" s="49" customFormat="1" ht="15.75">
      <c r="A310" s="183" t="s">
        <v>273</v>
      </c>
      <c r="B310" s="208" t="s">
        <v>214</v>
      </c>
      <c r="C310" s="167" t="s">
        <v>212</v>
      </c>
      <c r="D310" s="168" t="s">
        <v>93</v>
      </c>
      <c r="E310" s="167"/>
      <c r="F310" s="233"/>
      <c r="G310" s="209">
        <f>G311+G314+G318+G316</f>
        <v>60832.7</v>
      </c>
      <c r="H310" s="170">
        <f>H311+H314+H318+H316</f>
        <v>57813.3</v>
      </c>
      <c r="I310" s="89"/>
    </row>
    <row r="311" spans="1:9" s="49" customFormat="1" ht="15.75">
      <c r="A311" s="183" t="s">
        <v>274</v>
      </c>
      <c r="B311" s="208" t="s">
        <v>214</v>
      </c>
      <c r="C311" s="167" t="s">
        <v>212</v>
      </c>
      <c r="D311" s="168" t="s">
        <v>275</v>
      </c>
      <c r="E311" s="167"/>
      <c r="F311" s="233">
        <v>483</v>
      </c>
      <c r="G311" s="209">
        <f>G312</f>
        <v>3019.4</v>
      </c>
      <c r="H311" s="170">
        <f>H312</f>
        <v>0</v>
      </c>
      <c r="I311" s="89"/>
    </row>
    <row r="312" spans="1:9" s="49" customFormat="1" ht="30">
      <c r="A312" s="166" t="s">
        <v>276</v>
      </c>
      <c r="B312" s="208" t="s">
        <v>214</v>
      </c>
      <c r="C312" s="167" t="s">
        <v>212</v>
      </c>
      <c r="D312" s="168" t="s">
        <v>277</v>
      </c>
      <c r="E312" s="167"/>
      <c r="F312" s="233"/>
      <c r="G312" s="209">
        <f>G313</f>
        <v>3019.4</v>
      </c>
      <c r="H312" s="170">
        <f>H313</f>
        <v>0</v>
      </c>
      <c r="I312" s="89"/>
    </row>
    <row r="313" spans="1:9" s="49" customFormat="1" ht="15.75">
      <c r="A313" s="183" t="s">
        <v>185</v>
      </c>
      <c r="B313" s="208" t="s">
        <v>214</v>
      </c>
      <c r="C313" s="167" t="s">
        <v>212</v>
      </c>
      <c r="D313" s="168" t="s">
        <v>277</v>
      </c>
      <c r="E313" s="167" t="s">
        <v>53</v>
      </c>
      <c r="F313" s="233"/>
      <c r="G313" s="209">
        <f>'Прилож №5'!H267+'Прилож №5'!H484</f>
        <v>3019.4</v>
      </c>
      <c r="H313" s="170">
        <f>'Прилож №5'!I267</f>
        <v>0</v>
      </c>
      <c r="I313" s="89"/>
    </row>
    <row r="314" spans="1:9" s="49" customFormat="1" ht="30">
      <c r="A314" s="166" t="s">
        <v>156</v>
      </c>
      <c r="B314" s="208" t="s">
        <v>214</v>
      </c>
      <c r="C314" s="167" t="s">
        <v>212</v>
      </c>
      <c r="D314" s="168" t="s">
        <v>278</v>
      </c>
      <c r="E314" s="167"/>
      <c r="F314" s="233"/>
      <c r="G314" s="209">
        <f>G315</f>
        <v>44180</v>
      </c>
      <c r="H314" s="170">
        <f>H315</f>
        <v>44180</v>
      </c>
      <c r="I314" s="89"/>
    </row>
    <row r="315" spans="1:9" s="49" customFormat="1" ht="13.5" customHeight="1">
      <c r="A315" s="166" t="s">
        <v>185</v>
      </c>
      <c r="B315" s="208" t="s">
        <v>214</v>
      </c>
      <c r="C315" s="167" t="s">
        <v>212</v>
      </c>
      <c r="D315" s="168" t="s">
        <v>278</v>
      </c>
      <c r="E315" s="167" t="s">
        <v>53</v>
      </c>
      <c r="F315" s="233">
        <v>572</v>
      </c>
      <c r="G315" s="209">
        <f>'Прилож №5'!H269</f>
        <v>44180</v>
      </c>
      <c r="H315" s="170">
        <f>'Прилож №5'!I269</f>
        <v>44180</v>
      </c>
      <c r="I315" s="89"/>
    </row>
    <row r="316" spans="1:9" s="49" customFormat="1" ht="58.5" customHeight="1">
      <c r="A316" s="214" t="s">
        <v>399</v>
      </c>
      <c r="B316" s="208" t="s">
        <v>214</v>
      </c>
      <c r="C316" s="197" t="s">
        <v>212</v>
      </c>
      <c r="D316" s="168" t="s">
        <v>400</v>
      </c>
      <c r="E316" s="197"/>
      <c r="F316" s="234"/>
      <c r="G316" s="215">
        <f>G317</f>
        <v>4904</v>
      </c>
      <c r="H316" s="199">
        <f>H317</f>
        <v>4904</v>
      </c>
      <c r="I316" s="89"/>
    </row>
    <row r="317" spans="1:9" s="49" customFormat="1" ht="13.5" customHeight="1">
      <c r="A317" s="214" t="s">
        <v>185</v>
      </c>
      <c r="B317" s="208" t="s">
        <v>214</v>
      </c>
      <c r="C317" s="197" t="s">
        <v>212</v>
      </c>
      <c r="D317" s="168" t="s">
        <v>400</v>
      </c>
      <c r="E317" s="197" t="s">
        <v>53</v>
      </c>
      <c r="F317" s="234"/>
      <c r="G317" s="215">
        <f>'Прилож №5'!H540</f>
        <v>4904</v>
      </c>
      <c r="H317" s="199">
        <f>'Прилож №5'!I540</f>
        <v>4904</v>
      </c>
      <c r="I317" s="89"/>
    </row>
    <row r="318" spans="1:9" s="49" customFormat="1" ht="45" customHeight="1">
      <c r="A318" s="214" t="s">
        <v>281</v>
      </c>
      <c r="B318" s="208" t="s">
        <v>214</v>
      </c>
      <c r="C318" s="197" t="s">
        <v>212</v>
      </c>
      <c r="D318" s="168" t="s">
        <v>282</v>
      </c>
      <c r="E318" s="197"/>
      <c r="F318" s="234"/>
      <c r="G318" s="215">
        <f>G319</f>
        <v>8729.3</v>
      </c>
      <c r="H318" s="199">
        <f>H319</f>
        <v>8729.3</v>
      </c>
      <c r="I318" s="89"/>
    </row>
    <row r="319" spans="1:9" s="49" customFormat="1" ht="13.5" customHeight="1">
      <c r="A319" s="214" t="s">
        <v>185</v>
      </c>
      <c r="B319" s="208" t="s">
        <v>214</v>
      </c>
      <c r="C319" s="197" t="s">
        <v>212</v>
      </c>
      <c r="D319" s="168" t="s">
        <v>282</v>
      </c>
      <c r="E319" s="197" t="s">
        <v>53</v>
      </c>
      <c r="F319" s="234"/>
      <c r="G319" s="215">
        <f>'Прилож №5'!H542</f>
        <v>8729.3</v>
      </c>
      <c r="H319" s="199">
        <f>'Прилож №5'!I542</f>
        <v>8729.3</v>
      </c>
      <c r="I319" s="89"/>
    </row>
    <row r="320" spans="1:9" s="128" customFormat="1" ht="18.75" customHeight="1">
      <c r="A320" s="171" t="s">
        <v>132</v>
      </c>
      <c r="B320" s="208" t="s">
        <v>214</v>
      </c>
      <c r="C320" s="197" t="s">
        <v>212</v>
      </c>
      <c r="D320" s="168" t="s">
        <v>100</v>
      </c>
      <c r="E320" s="197"/>
      <c r="F320" s="234"/>
      <c r="G320" s="215">
        <f>G321</f>
        <v>4298</v>
      </c>
      <c r="H320" s="199">
        <f>H322+H324</f>
        <v>4298</v>
      </c>
      <c r="I320" s="127"/>
    </row>
    <row r="321" spans="1:9" s="128" customFormat="1" ht="60.75" customHeight="1">
      <c r="A321" s="214" t="s">
        <v>340</v>
      </c>
      <c r="B321" s="208" t="s">
        <v>214</v>
      </c>
      <c r="C321" s="197" t="s">
        <v>212</v>
      </c>
      <c r="D321" s="168" t="s">
        <v>339</v>
      </c>
      <c r="E321" s="197"/>
      <c r="F321" s="234"/>
      <c r="G321" s="203">
        <f>G322+G324</f>
        <v>4298</v>
      </c>
      <c r="H321" s="170">
        <f>H322+H324</f>
        <v>4298</v>
      </c>
      <c r="I321" s="127"/>
    </row>
    <row r="322" spans="1:9" s="128" customFormat="1" ht="63.75" customHeight="1">
      <c r="A322" s="214" t="s">
        <v>338</v>
      </c>
      <c r="B322" s="208" t="s">
        <v>214</v>
      </c>
      <c r="C322" s="197" t="s">
        <v>212</v>
      </c>
      <c r="D322" s="168" t="s">
        <v>335</v>
      </c>
      <c r="E322" s="197"/>
      <c r="F322" s="234"/>
      <c r="G322" s="215">
        <f>G323</f>
        <v>4298</v>
      </c>
      <c r="H322" s="170">
        <f>H323</f>
        <v>4298</v>
      </c>
      <c r="I322" s="127"/>
    </row>
    <row r="323" spans="1:9" s="128" customFormat="1" ht="15" customHeight="1">
      <c r="A323" s="183" t="s">
        <v>162</v>
      </c>
      <c r="B323" s="208" t="s">
        <v>214</v>
      </c>
      <c r="C323" s="197" t="s">
        <v>212</v>
      </c>
      <c r="D323" s="198" t="s">
        <v>335</v>
      </c>
      <c r="E323" s="197" t="s">
        <v>53</v>
      </c>
      <c r="F323" s="234"/>
      <c r="G323" s="215">
        <f>'Прилож №5'!H357</f>
        <v>4298</v>
      </c>
      <c r="H323" s="170">
        <f>'Прилож №5'!I357</f>
        <v>4298</v>
      </c>
      <c r="I323" s="127"/>
    </row>
    <row r="324" spans="1:9" s="128" customFormat="1" ht="58.5" customHeight="1">
      <c r="A324" s="48" t="s">
        <v>336</v>
      </c>
      <c r="B324" s="208" t="s">
        <v>214</v>
      </c>
      <c r="C324" s="197" t="s">
        <v>212</v>
      </c>
      <c r="D324" s="198" t="s">
        <v>337</v>
      </c>
      <c r="E324" s="197"/>
      <c r="F324" s="234"/>
      <c r="G324" s="215">
        <f>G325</f>
        <v>0</v>
      </c>
      <c r="H324" s="199">
        <f>H325</f>
        <v>0</v>
      </c>
      <c r="I324" s="127"/>
    </row>
    <row r="325" spans="1:9" s="128" customFormat="1" ht="15" customHeight="1">
      <c r="A325" s="27" t="s">
        <v>189</v>
      </c>
      <c r="B325" s="208" t="s">
        <v>214</v>
      </c>
      <c r="C325" s="197" t="s">
        <v>212</v>
      </c>
      <c r="D325" s="198" t="s">
        <v>337</v>
      </c>
      <c r="E325" s="197" t="s">
        <v>89</v>
      </c>
      <c r="F325" s="234"/>
      <c r="G325" s="215">
        <f>'Прилож №5'!H359</f>
        <v>0</v>
      </c>
      <c r="H325" s="199">
        <f>'Прилож №5'!I359</f>
        <v>0</v>
      </c>
      <c r="I325" s="127"/>
    </row>
    <row r="326" spans="1:9" s="128" customFormat="1" ht="15" customHeight="1">
      <c r="A326" s="26" t="s">
        <v>351</v>
      </c>
      <c r="B326" s="208" t="s">
        <v>214</v>
      </c>
      <c r="C326" s="197" t="s">
        <v>212</v>
      </c>
      <c r="D326" s="198" t="s">
        <v>352</v>
      </c>
      <c r="E326" s="197"/>
      <c r="F326" s="234"/>
      <c r="G326" s="215">
        <f aca="true" t="shared" si="18" ref="G326:H328">G327</f>
        <v>1443</v>
      </c>
      <c r="H326" s="199">
        <f t="shared" si="18"/>
        <v>724</v>
      </c>
      <c r="I326" s="127"/>
    </row>
    <row r="327" spans="1:9" s="128" customFormat="1" ht="15" customHeight="1">
      <c r="A327" s="26" t="s">
        <v>353</v>
      </c>
      <c r="B327" s="208" t="s">
        <v>214</v>
      </c>
      <c r="C327" s="197" t="s">
        <v>212</v>
      </c>
      <c r="D327" s="198" t="s">
        <v>354</v>
      </c>
      <c r="E327" s="197"/>
      <c r="F327" s="234"/>
      <c r="G327" s="215">
        <f t="shared" si="18"/>
        <v>1443</v>
      </c>
      <c r="H327" s="199">
        <f t="shared" si="18"/>
        <v>724</v>
      </c>
      <c r="I327" s="127"/>
    </row>
    <row r="328" spans="1:9" s="128" customFormat="1" ht="15" customHeight="1">
      <c r="A328" s="26" t="s">
        <v>355</v>
      </c>
      <c r="B328" s="208" t="s">
        <v>214</v>
      </c>
      <c r="C328" s="197" t="s">
        <v>212</v>
      </c>
      <c r="D328" s="198" t="s">
        <v>356</v>
      </c>
      <c r="E328" s="197"/>
      <c r="F328" s="234"/>
      <c r="G328" s="215">
        <f t="shared" si="18"/>
        <v>1443</v>
      </c>
      <c r="H328" s="199">
        <f t="shared" si="18"/>
        <v>724</v>
      </c>
      <c r="I328" s="127"/>
    </row>
    <row r="329" spans="1:9" s="128" customFormat="1" ht="15" customHeight="1">
      <c r="A329" s="26" t="s">
        <v>385</v>
      </c>
      <c r="B329" s="208" t="s">
        <v>214</v>
      </c>
      <c r="C329" s="197" t="s">
        <v>212</v>
      </c>
      <c r="D329" s="198" t="s">
        <v>356</v>
      </c>
      <c r="E329" s="197" t="s">
        <v>386</v>
      </c>
      <c r="F329" s="234"/>
      <c r="G329" s="215">
        <f>'Прилож №5'!H263</f>
        <v>1443</v>
      </c>
      <c r="H329" s="199">
        <f>'Прилож №5'!I263</f>
        <v>724</v>
      </c>
      <c r="I329" s="127"/>
    </row>
    <row r="330" spans="1:9" s="49" customFormat="1" ht="15" customHeight="1">
      <c r="A330" s="183" t="s">
        <v>143</v>
      </c>
      <c r="B330" s="208" t="s">
        <v>214</v>
      </c>
      <c r="C330" s="197" t="s">
        <v>212</v>
      </c>
      <c r="D330" s="198" t="s">
        <v>144</v>
      </c>
      <c r="E330" s="197"/>
      <c r="F330" s="234"/>
      <c r="G330" s="215">
        <f>G331+G333</f>
        <v>1324</v>
      </c>
      <c r="H330" s="170">
        <f>H331</f>
        <v>0</v>
      </c>
      <c r="I330" s="89"/>
    </row>
    <row r="331" spans="1:9" s="49" customFormat="1" ht="27" customHeight="1">
      <c r="A331" s="166" t="s">
        <v>285</v>
      </c>
      <c r="B331" s="208" t="s">
        <v>214</v>
      </c>
      <c r="C331" s="197" t="s">
        <v>212</v>
      </c>
      <c r="D331" s="198" t="s">
        <v>286</v>
      </c>
      <c r="E331" s="197"/>
      <c r="F331" s="234"/>
      <c r="G331" s="215">
        <f>G332</f>
        <v>605</v>
      </c>
      <c r="H331" s="170">
        <f>H332</f>
        <v>0</v>
      </c>
      <c r="I331" s="89"/>
    </row>
    <row r="332" spans="1:9" s="49" customFormat="1" ht="15" customHeight="1">
      <c r="A332" s="171" t="s">
        <v>159</v>
      </c>
      <c r="B332" s="208" t="s">
        <v>214</v>
      </c>
      <c r="C332" s="197" t="s">
        <v>212</v>
      </c>
      <c r="D332" s="198" t="s">
        <v>286</v>
      </c>
      <c r="E332" s="197" t="s">
        <v>329</v>
      </c>
      <c r="F332" s="234"/>
      <c r="G332" s="215">
        <f>'Прилож №5'!H272</f>
        <v>605</v>
      </c>
      <c r="H332" s="170">
        <f>'Прилож №5'!I272</f>
        <v>0</v>
      </c>
      <c r="I332" s="89"/>
    </row>
    <row r="333" spans="1:9" s="49" customFormat="1" ht="31.5" customHeight="1">
      <c r="A333" s="166" t="s">
        <v>393</v>
      </c>
      <c r="B333" s="208" t="s">
        <v>214</v>
      </c>
      <c r="C333" s="197" t="s">
        <v>212</v>
      </c>
      <c r="D333" s="198" t="s">
        <v>394</v>
      </c>
      <c r="E333" s="197"/>
      <c r="F333" s="234"/>
      <c r="G333" s="295">
        <f>G334</f>
        <v>719</v>
      </c>
      <c r="H333" s="170"/>
      <c r="I333" s="89"/>
    </row>
    <row r="334" spans="1:9" s="49" customFormat="1" ht="15" customHeight="1">
      <c r="A334" s="171" t="s">
        <v>159</v>
      </c>
      <c r="B334" s="208" t="s">
        <v>214</v>
      </c>
      <c r="C334" s="197" t="s">
        <v>212</v>
      </c>
      <c r="D334" s="198" t="s">
        <v>394</v>
      </c>
      <c r="E334" s="197" t="s">
        <v>329</v>
      </c>
      <c r="F334" s="234"/>
      <c r="G334" s="295">
        <f>'Прилож №5'!H274</f>
        <v>719</v>
      </c>
      <c r="H334" s="170"/>
      <c r="I334" s="89"/>
    </row>
    <row r="335" spans="1:9" s="49" customFormat="1" ht="15.75">
      <c r="A335" s="178" t="s">
        <v>142</v>
      </c>
      <c r="B335" s="206" t="s">
        <v>214</v>
      </c>
      <c r="C335" s="173" t="s">
        <v>228</v>
      </c>
      <c r="D335" s="174"/>
      <c r="E335" s="173"/>
      <c r="F335" s="175"/>
      <c r="G335" s="235">
        <f aca="true" t="shared" si="19" ref="G335:H337">G336</f>
        <v>6000</v>
      </c>
      <c r="H335" s="176">
        <f t="shared" si="19"/>
        <v>0</v>
      </c>
      <c r="I335" s="89"/>
    </row>
    <row r="336" spans="1:9" s="49" customFormat="1" ht="15.75">
      <c r="A336" s="183" t="s">
        <v>143</v>
      </c>
      <c r="B336" s="208" t="s">
        <v>214</v>
      </c>
      <c r="C336" s="167" t="s">
        <v>228</v>
      </c>
      <c r="D336" s="168" t="s">
        <v>144</v>
      </c>
      <c r="E336" s="167"/>
      <c r="F336" s="169"/>
      <c r="G336" s="203">
        <f t="shared" si="19"/>
        <v>6000</v>
      </c>
      <c r="H336" s="170">
        <f t="shared" si="19"/>
        <v>0</v>
      </c>
      <c r="I336" s="89"/>
    </row>
    <row r="337" spans="1:9" s="49" customFormat="1" ht="30" customHeight="1">
      <c r="A337" s="166" t="s">
        <v>283</v>
      </c>
      <c r="B337" s="208" t="s">
        <v>214</v>
      </c>
      <c r="C337" s="167" t="s">
        <v>228</v>
      </c>
      <c r="D337" s="168" t="s">
        <v>284</v>
      </c>
      <c r="E337" s="167"/>
      <c r="F337" s="169"/>
      <c r="G337" s="203">
        <f>G338+G339</f>
        <v>6000</v>
      </c>
      <c r="H337" s="170">
        <f t="shared" si="19"/>
        <v>0</v>
      </c>
      <c r="I337" s="89"/>
    </row>
    <row r="338" spans="1:10" s="49" customFormat="1" ht="15.75">
      <c r="A338" s="273" t="s">
        <v>159</v>
      </c>
      <c r="B338" s="210" t="s">
        <v>214</v>
      </c>
      <c r="C338" s="180" t="s">
        <v>228</v>
      </c>
      <c r="D338" s="181" t="s">
        <v>284</v>
      </c>
      <c r="E338" s="180" t="s">
        <v>329</v>
      </c>
      <c r="F338" s="184"/>
      <c r="G338" s="237">
        <f>'Прилож №5'!H278</f>
        <v>2600</v>
      </c>
      <c r="H338" s="182">
        <f>'Прилож №5'!I278</f>
        <v>0</v>
      </c>
      <c r="I338" s="89"/>
      <c r="J338" s="238"/>
    </row>
    <row r="339" spans="1:10" s="49" customFormat="1" ht="15.75">
      <c r="A339" s="27" t="s">
        <v>189</v>
      </c>
      <c r="B339" s="210" t="s">
        <v>214</v>
      </c>
      <c r="C339" s="180" t="s">
        <v>228</v>
      </c>
      <c r="D339" s="181" t="s">
        <v>284</v>
      </c>
      <c r="E339" s="180" t="s">
        <v>89</v>
      </c>
      <c r="F339" s="184"/>
      <c r="G339" s="237">
        <f>'Прилож №5'!H436</f>
        <v>3400</v>
      </c>
      <c r="H339" s="182"/>
      <c r="I339" s="89"/>
      <c r="J339" s="238"/>
    </row>
    <row r="340" spans="1:9" s="24" customFormat="1" ht="15.75">
      <c r="A340" s="125" t="s">
        <v>367</v>
      </c>
      <c r="B340" s="206" t="s">
        <v>209</v>
      </c>
      <c r="C340" s="173" t="s">
        <v>133</v>
      </c>
      <c r="D340" s="174"/>
      <c r="E340" s="173"/>
      <c r="F340" s="175"/>
      <c r="G340" s="235">
        <f>G341</f>
        <v>2414</v>
      </c>
      <c r="H340" s="176"/>
      <c r="I340" s="123"/>
    </row>
    <row r="341" spans="1:9" s="49" customFormat="1" ht="15.75">
      <c r="A341" s="26" t="s">
        <v>368</v>
      </c>
      <c r="B341" s="208" t="s">
        <v>209</v>
      </c>
      <c r="C341" s="167" t="s">
        <v>208</v>
      </c>
      <c r="D341" s="168"/>
      <c r="E341" s="167"/>
      <c r="F341" s="169"/>
      <c r="G341" s="203">
        <f>G342</f>
        <v>2414</v>
      </c>
      <c r="H341" s="170"/>
      <c r="I341" s="89"/>
    </row>
    <row r="342" spans="1:9" s="49" customFormat="1" ht="15.75">
      <c r="A342" s="26" t="s">
        <v>369</v>
      </c>
      <c r="B342" s="208" t="s">
        <v>209</v>
      </c>
      <c r="C342" s="167" t="s">
        <v>208</v>
      </c>
      <c r="D342" s="168" t="s">
        <v>100</v>
      </c>
      <c r="E342" s="167"/>
      <c r="F342" s="169"/>
      <c r="G342" s="203">
        <f>G343</f>
        <v>2414</v>
      </c>
      <c r="H342" s="170"/>
      <c r="I342" s="89"/>
    </row>
    <row r="343" spans="1:9" s="49" customFormat="1" ht="15.75">
      <c r="A343" s="26" t="s">
        <v>368</v>
      </c>
      <c r="B343" s="208" t="s">
        <v>209</v>
      </c>
      <c r="C343" s="167" t="s">
        <v>208</v>
      </c>
      <c r="D343" s="168" t="s">
        <v>100</v>
      </c>
      <c r="E343" s="167" t="s">
        <v>370</v>
      </c>
      <c r="F343" s="169"/>
      <c r="G343" s="203">
        <f>'Прилож №5'!H569</f>
        <v>2414</v>
      </c>
      <c r="H343" s="170"/>
      <c r="I343" s="89"/>
    </row>
    <row r="344" spans="1:9" s="49" customFormat="1" ht="16.5" thickBot="1">
      <c r="A344" s="218" t="s">
        <v>77</v>
      </c>
      <c r="B344" s="289"/>
      <c r="C344" s="219"/>
      <c r="D344" s="239"/>
      <c r="E344" s="219"/>
      <c r="F344" s="239"/>
      <c r="G344" s="281">
        <f>G13+G43+G48+G88+G110+G168+G173+G230+G267+G301+G340</f>
        <v>2335675.9000000004</v>
      </c>
      <c r="H344" s="213">
        <f>H13+H43+H48+H88+H110+H168+H173+H230+H267+H301</f>
        <v>569632.7000000001</v>
      </c>
      <c r="I344" s="89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="75" zoomScaleNormal="75" workbookViewId="0" topLeftCell="A1">
      <selection activeCell="I3" sqref="I3"/>
    </sheetView>
  </sheetViews>
  <sheetFormatPr defaultColWidth="8.796875" defaultRowHeight="15"/>
  <cols>
    <col min="1" max="1" width="57.199218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5" customWidth="1"/>
    <col min="8" max="8" width="8.69921875" style="2" customWidth="1"/>
    <col min="9" max="9" width="10.19921875" style="2" customWidth="1"/>
  </cols>
  <sheetData>
    <row r="1" spans="5:9" ht="15.75">
      <c r="E1" s="376"/>
      <c r="F1" s="376"/>
      <c r="G1" s="378"/>
      <c r="H1" s="377"/>
      <c r="I1" s="375" t="s">
        <v>424</v>
      </c>
    </row>
    <row r="2" spans="5:9" ht="15.75">
      <c r="E2" s="376"/>
      <c r="F2" s="376"/>
      <c r="G2" s="378"/>
      <c r="H2" s="377"/>
      <c r="I2" s="375" t="s">
        <v>318</v>
      </c>
    </row>
    <row r="3" spans="5:9" ht="15.75">
      <c r="E3" s="376"/>
      <c r="F3" s="376"/>
      <c r="G3" s="378"/>
      <c r="H3" s="377"/>
      <c r="I3" s="375" t="s">
        <v>441</v>
      </c>
    </row>
    <row r="4" spans="5:9" ht="15.75">
      <c r="E4" s="376"/>
      <c r="F4" s="376"/>
      <c r="G4" s="378"/>
      <c r="H4" s="379"/>
      <c r="I4" s="375" t="s">
        <v>372</v>
      </c>
    </row>
    <row r="5" spans="5:9" ht="15.75">
      <c r="E5" s="376"/>
      <c r="F5" s="376"/>
      <c r="G5" s="378"/>
      <c r="H5" s="377"/>
      <c r="I5" s="375" t="s">
        <v>318</v>
      </c>
    </row>
    <row r="6" spans="1:9" ht="15.75">
      <c r="A6" s="3"/>
      <c r="B6" s="4"/>
      <c r="C6" s="4"/>
      <c r="D6" s="4"/>
      <c r="E6" s="376"/>
      <c r="F6" s="376"/>
      <c r="G6" s="378"/>
      <c r="H6" s="377"/>
      <c r="I6" s="375" t="s">
        <v>440</v>
      </c>
    </row>
    <row r="7" spans="1:9" ht="22.5" customHeight="1">
      <c r="A7" s="382" t="s">
        <v>307</v>
      </c>
      <c r="B7" s="382"/>
      <c r="C7" s="382"/>
      <c r="D7" s="382"/>
      <c r="E7" s="382"/>
      <c r="F7" s="382"/>
      <c r="G7" s="382"/>
      <c r="H7" s="382"/>
      <c r="I7" s="382"/>
    </row>
    <row r="8" spans="1:9" ht="16.5" thickBot="1">
      <c r="A8" s="2"/>
      <c r="B8" s="4"/>
      <c r="C8" s="4"/>
      <c r="D8" s="4"/>
      <c r="E8" s="4"/>
      <c r="F8" s="4"/>
      <c r="I8" s="145" t="s">
        <v>319</v>
      </c>
    </row>
    <row r="9" spans="1:9" ht="15.75">
      <c r="A9" s="82" t="s">
        <v>0</v>
      </c>
      <c r="B9" s="251" t="s">
        <v>58</v>
      </c>
      <c r="C9" s="65" t="s">
        <v>59</v>
      </c>
      <c r="D9" s="66" t="s">
        <v>65</v>
      </c>
      <c r="E9" s="65" t="s">
        <v>63</v>
      </c>
      <c r="F9" s="66"/>
      <c r="G9" s="260" t="s">
        <v>61</v>
      </c>
      <c r="H9" s="63" t="s">
        <v>62</v>
      </c>
      <c r="I9" s="264" t="s">
        <v>92</v>
      </c>
    </row>
    <row r="10" spans="1:9" ht="33.75" customHeight="1" thickBot="1">
      <c r="A10" s="62"/>
      <c r="B10" s="252"/>
      <c r="C10" s="83"/>
      <c r="D10" s="67" t="s">
        <v>66</v>
      </c>
      <c r="E10" s="83" t="s">
        <v>60</v>
      </c>
      <c r="F10" s="67"/>
      <c r="G10" s="261"/>
      <c r="H10" s="64"/>
      <c r="I10" s="265" t="s">
        <v>287</v>
      </c>
    </row>
    <row r="11" spans="1:9" ht="19.5" thickBot="1">
      <c r="A11" s="80" t="s">
        <v>57</v>
      </c>
      <c r="B11" s="29" t="s">
        <v>89</v>
      </c>
      <c r="C11" s="22"/>
      <c r="D11" s="13"/>
      <c r="E11" s="22"/>
      <c r="F11" s="13"/>
      <c r="G11" s="56"/>
      <c r="H11" s="40">
        <f>H12+H40+H45+H83+H105+H174+H179+H208+H221+H251</f>
        <v>1157141.5</v>
      </c>
      <c r="I11" s="266">
        <f>I12+I40+I45+I83+I105+I174+I179+I208+I221+I251</f>
        <v>274419.4</v>
      </c>
    </row>
    <row r="12" spans="1:9" ht="15.75">
      <c r="A12" s="177" t="s">
        <v>18</v>
      </c>
      <c r="B12" s="109" t="s">
        <v>89</v>
      </c>
      <c r="C12" s="18" t="s">
        <v>206</v>
      </c>
      <c r="D12" s="33" t="s">
        <v>133</v>
      </c>
      <c r="E12" s="18"/>
      <c r="F12" s="103"/>
      <c r="G12" s="94"/>
      <c r="H12" s="41">
        <f>H13+H17+H25+H29+H33+H21</f>
        <v>112250.40000000001</v>
      </c>
      <c r="I12" s="41">
        <f>I13+I17+I25+I29+I33+I21</f>
        <v>4780</v>
      </c>
    </row>
    <row r="13" spans="1:9" s="24" customFormat="1" ht="26.25">
      <c r="A13" s="135" t="s">
        <v>108</v>
      </c>
      <c r="B13" s="14" t="s">
        <v>89</v>
      </c>
      <c r="C13" s="35" t="s">
        <v>206</v>
      </c>
      <c r="D13" s="46" t="s">
        <v>207</v>
      </c>
      <c r="E13" s="35"/>
      <c r="F13" s="46"/>
      <c r="G13" s="136"/>
      <c r="H13" s="116">
        <f>H14</f>
        <v>1668.1</v>
      </c>
      <c r="I13" s="137">
        <f>I14</f>
        <v>0</v>
      </c>
    </row>
    <row r="14" spans="1:9" s="49" customFormat="1" ht="15.75">
      <c r="A14" s="69" t="s">
        <v>160</v>
      </c>
      <c r="B14" s="73" t="s">
        <v>89</v>
      </c>
      <c r="C14" s="74" t="s">
        <v>206</v>
      </c>
      <c r="D14" s="75" t="s">
        <v>207</v>
      </c>
      <c r="E14" s="74" t="s">
        <v>327</v>
      </c>
      <c r="F14" s="75"/>
      <c r="G14" s="76"/>
      <c r="H14" s="72">
        <f>H16</f>
        <v>1668.1</v>
      </c>
      <c r="I14" s="84">
        <f>I16</f>
        <v>0</v>
      </c>
    </row>
    <row r="15" spans="1:9" s="49" customFormat="1" ht="15.75">
      <c r="A15" s="70" t="s">
        <v>330</v>
      </c>
      <c r="B15" s="73" t="s">
        <v>89</v>
      </c>
      <c r="C15" s="74" t="s">
        <v>206</v>
      </c>
      <c r="D15" s="75" t="s">
        <v>207</v>
      </c>
      <c r="E15" s="74" t="s">
        <v>328</v>
      </c>
      <c r="F15" s="75"/>
      <c r="G15" s="76"/>
      <c r="H15" s="72"/>
      <c r="I15" s="84"/>
    </row>
    <row r="16" spans="1:9" s="49" customFormat="1" ht="15.75">
      <c r="A16" s="71" t="s">
        <v>159</v>
      </c>
      <c r="B16" s="73" t="s">
        <v>89</v>
      </c>
      <c r="C16" s="74" t="s">
        <v>206</v>
      </c>
      <c r="D16" s="75" t="s">
        <v>207</v>
      </c>
      <c r="E16" s="74" t="s">
        <v>328</v>
      </c>
      <c r="F16" s="75"/>
      <c r="G16" s="76" t="s">
        <v>329</v>
      </c>
      <c r="H16" s="72">
        <v>1668.1</v>
      </c>
      <c r="I16" s="84"/>
    </row>
    <row r="17" spans="1:9" s="24" customFormat="1" ht="26.25">
      <c r="A17" s="138" t="s">
        <v>109</v>
      </c>
      <c r="B17" s="110" t="s">
        <v>89</v>
      </c>
      <c r="C17" s="107" t="s">
        <v>206</v>
      </c>
      <c r="D17" s="119" t="s">
        <v>208</v>
      </c>
      <c r="E17" s="107"/>
      <c r="F17" s="119"/>
      <c r="G17" s="131"/>
      <c r="H17" s="87">
        <f aca="true" t="shared" si="0" ref="H17:I19">H18</f>
        <v>102075</v>
      </c>
      <c r="I17" s="100">
        <f t="shared" si="0"/>
        <v>4671</v>
      </c>
    </row>
    <row r="18" spans="1:9" ht="15.75">
      <c r="A18" s="69" t="s">
        <v>160</v>
      </c>
      <c r="B18" s="73" t="s">
        <v>89</v>
      </c>
      <c r="C18" s="74" t="s">
        <v>206</v>
      </c>
      <c r="D18" s="75" t="s">
        <v>208</v>
      </c>
      <c r="E18" s="77" t="s">
        <v>327</v>
      </c>
      <c r="F18" s="68"/>
      <c r="G18" s="78"/>
      <c r="H18" s="72">
        <f t="shared" si="0"/>
        <v>102075</v>
      </c>
      <c r="I18" s="84">
        <f t="shared" si="0"/>
        <v>4671</v>
      </c>
    </row>
    <row r="19" spans="1:9" ht="15.75">
      <c r="A19" s="70" t="s">
        <v>52</v>
      </c>
      <c r="B19" s="73" t="s">
        <v>89</v>
      </c>
      <c r="C19" s="74" t="s">
        <v>206</v>
      </c>
      <c r="D19" s="75" t="s">
        <v>208</v>
      </c>
      <c r="E19" s="77" t="s">
        <v>332</v>
      </c>
      <c r="F19" s="68"/>
      <c r="G19" s="95"/>
      <c r="H19" s="72">
        <f t="shared" si="0"/>
        <v>102075</v>
      </c>
      <c r="I19" s="84">
        <f t="shared" si="0"/>
        <v>4671</v>
      </c>
    </row>
    <row r="20" spans="1:9" ht="15.75">
      <c r="A20" s="71" t="s">
        <v>159</v>
      </c>
      <c r="B20" s="73" t="s">
        <v>89</v>
      </c>
      <c r="C20" s="74" t="s">
        <v>206</v>
      </c>
      <c r="D20" s="75" t="s">
        <v>208</v>
      </c>
      <c r="E20" s="74" t="s">
        <v>332</v>
      </c>
      <c r="F20" s="75"/>
      <c r="G20" s="76" t="s">
        <v>329</v>
      </c>
      <c r="H20" s="72">
        <f>83016.1-1668-0.1+4700-69+7052+780+500+8586-2414+2414+115-1000+200-580+500-3105+20+2000-20+48+1000</f>
        <v>102075</v>
      </c>
      <c r="I20" s="84">
        <f>1207+1002+2414+48</f>
        <v>4671</v>
      </c>
    </row>
    <row r="21" spans="1:9" ht="15.75">
      <c r="A21" s="71" t="s">
        <v>360</v>
      </c>
      <c r="B21" s="73" t="s">
        <v>89</v>
      </c>
      <c r="C21" s="74" t="s">
        <v>206</v>
      </c>
      <c r="D21" s="75" t="s">
        <v>221</v>
      </c>
      <c r="E21" s="74"/>
      <c r="F21" s="75"/>
      <c r="G21" s="152"/>
      <c r="H21" s="72">
        <f aca="true" t="shared" si="1" ref="H21:I23">H22</f>
        <v>124</v>
      </c>
      <c r="I21" s="72">
        <f t="shared" si="1"/>
        <v>109</v>
      </c>
    </row>
    <row r="22" spans="1:9" ht="15.75">
      <c r="A22" s="71" t="s">
        <v>160</v>
      </c>
      <c r="B22" s="73" t="s">
        <v>89</v>
      </c>
      <c r="C22" s="74" t="s">
        <v>206</v>
      </c>
      <c r="D22" s="75" t="s">
        <v>221</v>
      </c>
      <c r="E22" s="74" t="s">
        <v>361</v>
      </c>
      <c r="F22" s="75"/>
      <c r="G22" s="152"/>
      <c r="H22" s="72">
        <f t="shared" si="1"/>
        <v>124</v>
      </c>
      <c r="I22" s="72">
        <f t="shared" si="1"/>
        <v>109</v>
      </c>
    </row>
    <row r="23" spans="1:9" ht="26.25">
      <c r="A23" s="70" t="s">
        <v>362</v>
      </c>
      <c r="B23" s="73" t="s">
        <v>89</v>
      </c>
      <c r="C23" s="74" t="s">
        <v>206</v>
      </c>
      <c r="D23" s="75" t="s">
        <v>221</v>
      </c>
      <c r="E23" s="74" t="s">
        <v>363</v>
      </c>
      <c r="F23" s="75"/>
      <c r="G23" s="152"/>
      <c r="H23" s="72">
        <f t="shared" si="1"/>
        <v>124</v>
      </c>
      <c r="I23" s="72">
        <f t="shared" si="1"/>
        <v>109</v>
      </c>
    </row>
    <row r="24" spans="1:9" ht="15.75">
      <c r="A24" s="71" t="s">
        <v>159</v>
      </c>
      <c r="B24" s="73" t="s">
        <v>89</v>
      </c>
      <c r="C24" s="74" t="s">
        <v>206</v>
      </c>
      <c r="D24" s="75" t="s">
        <v>221</v>
      </c>
      <c r="E24" s="74" t="s">
        <v>363</v>
      </c>
      <c r="F24" s="75"/>
      <c r="G24" s="152" t="s">
        <v>329</v>
      </c>
      <c r="H24" s="72">
        <f>15+109</f>
        <v>124</v>
      </c>
      <c r="I24" s="84">
        <v>109</v>
      </c>
    </row>
    <row r="25" spans="1:9" s="24" customFormat="1" ht="15.75">
      <c r="A25" s="125" t="s">
        <v>134</v>
      </c>
      <c r="B25" s="110" t="s">
        <v>89</v>
      </c>
      <c r="C25" s="107" t="s">
        <v>206</v>
      </c>
      <c r="D25" s="119" t="s">
        <v>209</v>
      </c>
      <c r="E25" s="107"/>
      <c r="F25" s="105" t="s">
        <v>51</v>
      </c>
      <c r="G25" s="98"/>
      <c r="H25" s="87">
        <f aca="true" t="shared" si="2" ref="H25:I27">H26</f>
        <v>2598.3</v>
      </c>
      <c r="I25" s="100">
        <f t="shared" si="2"/>
        <v>0</v>
      </c>
    </row>
    <row r="26" spans="1:9" ht="15.75">
      <c r="A26" s="243" t="s">
        <v>135</v>
      </c>
      <c r="B26" s="73" t="s">
        <v>89</v>
      </c>
      <c r="C26" s="74" t="s">
        <v>206</v>
      </c>
      <c r="D26" s="75" t="s">
        <v>209</v>
      </c>
      <c r="E26" s="74" t="s">
        <v>136</v>
      </c>
      <c r="F26" s="79" t="s">
        <v>51</v>
      </c>
      <c r="G26" s="95"/>
      <c r="H26" s="72">
        <f t="shared" si="2"/>
        <v>2598.3</v>
      </c>
      <c r="I26" s="84">
        <f t="shared" si="2"/>
        <v>0</v>
      </c>
    </row>
    <row r="27" spans="1:9" ht="15.75">
      <c r="A27" s="243" t="s">
        <v>137</v>
      </c>
      <c r="B27" s="73" t="s">
        <v>89</v>
      </c>
      <c r="C27" s="74" t="s">
        <v>206</v>
      </c>
      <c r="D27" s="75" t="s">
        <v>209</v>
      </c>
      <c r="E27" s="74" t="s">
        <v>161</v>
      </c>
      <c r="F27" s="79"/>
      <c r="G27" s="95"/>
      <c r="H27" s="72">
        <f t="shared" si="2"/>
        <v>2598.3</v>
      </c>
      <c r="I27" s="84">
        <f t="shared" si="2"/>
        <v>0</v>
      </c>
    </row>
    <row r="28" spans="1:9" ht="15.75">
      <c r="A28" s="243" t="s">
        <v>162</v>
      </c>
      <c r="B28" s="73" t="s">
        <v>89</v>
      </c>
      <c r="C28" s="74" t="s">
        <v>206</v>
      </c>
      <c r="D28" s="75" t="s">
        <v>209</v>
      </c>
      <c r="E28" s="74" t="s">
        <v>161</v>
      </c>
      <c r="F28" s="79" t="s">
        <v>138</v>
      </c>
      <c r="G28" s="95" t="s">
        <v>140</v>
      </c>
      <c r="H28" s="72">
        <f>25330-23000+268.3</f>
        <v>2598.3</v>
      </c>
      <c r="I28" s="84"/>
    </row>
    <row r="29" spans="1:9" s="24" customFormat="1" ht="15.75">
      <c r="A29" s="125" t="s">
        <v>17</v>
      </c>
      <c r="B29" s="110" t="s">
        <v>89</v>
      </c>
      <c r="C29" s="107" t="s">
        <v>206</v>
      </c>
      <c r="D29" s="119" t="s">
        <v>210</v>
      </c>
      <c r="E29" s="107"/>
      <c r="F29" s="105"/>
      <c r="G29" s="98"/>
      <c r="H29" s="87">
        <f aca="true" t="shared" si="3" ref="H29:I31">H30</f>
        <v>5000</v>
      </c>
      <c r="I29" s="100">
        <f t="shared" si="3"/>
        <v>0</v>
      </c>
    </row>
    <row r="30" spans="1:9" ht="15.75">
      <c r="A30" s="27" t="s">
        <v>17</v>
      </c>
      <c r="B30" s="73" t="s">
        <v>89</v>
      </c>
      <c r="C30" s="74" t="s">
        <v>206</v>
      </c>
      <c r="D30" s="75" t="s">
        <v>210</v>
      </c>
      <c r="E30" s="74" t="s">
        <v>20</v>
      </c>
      <c r="F30" s="79"/>
      <c r="G30" s="95"/>
      <c r="H30" s="72">
        <f t="shared" si="3"/>
        <v>5000</v>
      </c>
      <c r="I30" s="84">
        <f t="shared" si="3"/>
        <v>0</v>
      </c>
    </row>
    <row r="31" spans="1:9" ht="15" customHeight="1">
      <c r="A31" s="113" t="s">
        <v>163</v>
      </c>
      <c r="B31" s="73" t="s">
        <v>89</v>
      </c>
      <c r="C31" s="74" t="s">
        <v>206</v>
      </c>
      <c r="D31" s="75" t="s">
        <v>210</v>
      </c>
      <c r="E31" s="74" t="s">
        <v>164</v>
      </c>
      <c r="F31" s="79"/>
      <c r="G31" s="95"/>
      <c r="H31" s="72">
        <f t="shared" si="3"/>
        <v>5000</v>
      </c>
      <c r="I31" s="84">
        <f t="shared" si="3"/>
        <v>0</v>
      </c>
    </row>
    <row r="32" spans="1:9" ht="15.75">
      <c r="A32" s="28" t="s">
        <v>162</v>
      </c>
      <c r="B32" s="73" t="s">
        <v>89</v>
      </c>
      <c r="C32" s="74" t="s">
        <v>206</v>
      </c>
      <c r="D32" s="75" t="s">
        <v>210</v>
      </c>
      <c r="E32" s="74" t="s">
        <v>164</v>
      </c>
      <c r="F32" s="79"/>
      <c r="G32" s="95" t="s">
        <v>140</v>
      </c>
      <c r="H32" s="72">
        <v>5000</v>
      </c>
      <c r="I32" s="84"/>
    </row>
    <row r="33" spans="1:9" s="24" customFormat="1" ht="15.75">
      <c r="A33" s="139" t="s">
        <v>83</v>
      </c>
      <c r="B33" s="110" t="s">
        <v>89</v>
      </c>
      <c r="C33" s="107" t="s">
        <v>206</v>
      </c>
      <c r="D33" s="119" t="s">
        <v>211</v>
      </c>
      <c r="E33" s="107"/>
      <c r="F33" s="105"/>
      <c r="G33" s="98"/>
      <c r="H33" s="87">
        <f>H34+H37</f>
        <v>785</v>
      </c>
      <c r="I33" s="100">
        <f aca="true" t="shared" si="4" ref="H33:I35">I34</f>
        <v>0</v>
      </c>
    </row>
    <row r="34" spans="1:9" s="49" customFormat="1" ht="15.75">
      <c r="A34" s="48" t="s">
        <v>160</v>
      </c>
      <c r="B34" s="44" t="s">
        <v>89</v>
      </c>
      <c r="C34" s="19" t="s">
        <v>206</v>
      </c>
      <c r="D34" s="31" t="s">
        <v>211</v>
      </c>
      <c r="E34" s="19" t="s">
        <v>327</v>
      </c>
      <c r="F34" s="7"/>
      <c r="G34" s="52"/>
      <c r="H34" s="39">
        <f t="shared" si="4"/>
        <v>135</v>
      </c>
      <c r="I34" s="50">
        <f t="shared" si="4"/>
        <v>0</v>
      </c>
    </row>
    <row r="35" spans="1:9" ht="26.25">
      <c r="A35" s="113" t="s">
        <v>165</v>
      </c>
      <c r="B35" s="44" t="s">
        <v>89</v>
      </c>
      <c r="C35" s="19" t="s">
        <v>206</v>
      </c>
      <c r="D35" s="31" t="s">
        <v>211</v>
      </c>
      <c r="E35" s="19" t="s">
        <v>341</v>
      </c>
      <c r="F35" s="7"/>
      <c r="G35" s="52"/>
      <c r="H35" s="39">
        <f t="shared" si="4"/>
        <v>135</v>
      </c>
      <c r="I35" s="50">
        <f t="shared" si="4"/>
        <v>0</v>
      </c>
    </row>
    <row r="36" spans="1:9" ht="15.75">
      <c r="A36" s="28" t="s">
        <v>162</v>
      </c>
      <c r="B36" s="44" t="s">
        <v>89</v>
      </c>
      <c r="C36" s="19" t="s">
        <v>206</v>
      </c>
      <c r="D36" s="31" t="s">
        <v>211</v>
      </c>
      <c r="E36" s="19" t="s">
        <v>341</v>
      </c>
      <c r="F36" s="7"/>
      <c r="G36" s="52" t="s">
        <v>140</v>
      </c>
      <c r="H36" s="39">
        <v>135</v>
      </c>
      <c r="I36" s="51"/>
    </row>
    <row r="37" spans="1:9" ht="26.25">
      <c r="A37" s="48" t="s">
        <v>225</v>
      </c>
      <c r="B37" s="44" t="s">
        <v>89</v>
      </c>
      <c r="C37" s="19" t="s">
        <v>206</v>
      </c>
      <c r="D37" s="31" t="s">
        <v>211</v>
      </c>
      <c r="E37" s="19" t="s">
        <v>150</v>
      </c>
      <c r="F37" s="7"/>
      <c r="G37" s="52"/>
      <c r="H37" s="39">
        <f>H38</f>
        <v>650</v>
      </c>
      <c r="I37" s="51"/>
    </row>
    <row r="38" spans="1:9" ht="15.75">
      <c r="A38" s="93" t="s">
        <v>80</v>
      </c>
      <c r="B38" s="44" t="s">
        <v>89</v>
      </c>
      <c r="C38" s="19" t="s">
        <v>206</v>
      </c>
      <c r="D38" s="31" t="s">
        <v>211</v>
      </c>
      <c r="E38" s="19" t="s">
        <v>224</v>
      </c>
      <c r="F38" s="7"/>
      <c r="G38" s="52"/>
      <c r="H38" s="39">
        <f>H39</f>
        <v>650</v>
      </c>
      <c r="I38" s="51"/>
    </row>
    <row r="39" spans="1:9" ht="15.75">
      <c r="A39" s="8" t="s">
        <v>159</v>
      </c>
      <c r="B39" s="45" t="s">
        <v>89</v>
      </c>
      <c r="C39" s="21" t="s">
        <v>206</v>
      </c>
      <c r="D39" s="32" t="s">
        <v>211</v>
      </c>
      <c r="E39" s="21" t="s">
        <v>224</v>
      </c>
      <c r="F39" s="5" t="s">
        <v>51</v>
      </c>
      <c r="G39" s="52" t="s">
        <v>329</v>
      </c>
      <c r="H39" s="39">
        <v>650</v>
      </c>
      <c r="I39" s="51"/>
    </row>
    <row r="40" spans="1:9" ht="15.75">
      <c r="A40" s="125" t="s">
        <v>84</v>
      </c>
      <c r="B40" s="110" t="s">
        <v>89</v>
      </c>
      <c r="C40" s="107" t="s">
        <v>207</v>
      </c>
      <c r="D40" s="254" t="s">
        <v>133</v>
      </c>
      <c r="E40" s="106"/>
      <c r="F40" s="104"/>
      <c r="G40" s="96"/>
      <c r="H40" s="87">
        <f aca="true" t="shared" si="5" ref="H40:I43">H41</f>
        <v>825.6</v>
      </c>
      <c r="I40" s="100">
        <f t="shared" si="5"/>
        <v>0</v>
      </c>
    </row>
    <row r="41" spans="1:9" ht="15.75">
      <c r="A41" s="28" t="s">
        <v>85</v>
      </c>
      <c r="B41" s="43" t="s">
        <v>89</v>
      </c>
      <c r="C41" s="23" t="s">
        <v>207</v>
      </c>
      <c r="D41" s="30" t="s">
        <v>208</v>
      </c>
      <c r="E41" s="15"/>
      <c r="F41" s="10"/>
      <c r="G41" s="57"/>
      <c r="H41" s="38">
        <f t="shared" si="5"/>
        <v>825.6</v>
      </c>
      <c r="I41" s="86">
        <f t="shared" si="5"/>
        <v>0</v>
      </c>
    </row>
    <row r="42" spans="1:9" ht="26.25">
      <c r="A42" s="48" t="s">
        <v>110</v>
      </c>
      <c r="B42" s="44" t="s">
        <v>89</v>
      </c>
      <c r="C42" s="19" t="s">
        <v>207</v>
      </c>
      <c r="D42" s="31" t="s">
        <v>208</v>
      </c>
      <c r="E42" s="19" t="s">
        <v>86</v>
      </c>
      <c r="F42" s="31"/>
      <c r="G42" s="52"/>
      <c r="H42" s="39">
        <f t="shared" si="5"/>
        <v>825.6</v>
      </c>
      <c r="I42" s="50">
        <f t="shared" si="5"/>
        <v>0</v>
      </c>
    </row>
    <row r="43" spans="1:9" ht="16.5" customHeight="1">
      <c r="A43" s="113" t="s">
        <v>111</v>
      </c>
      <c r="B43" s="44" t="s">
        <v>89</v>
      </c>
      <c r="C43" s="19" t="s">
        <v>207</v>
      </c>
      <c r="D43" s="31" t="s">
        <v>208</v>
      </c>
      <c r="E43" s="19" t="s">
        <v>167</v>
      </c>
      <c r="F43" s="31"/>
      <c r="G43" s="52"/>
      <c r="H43" s="39">
        <f t="shared" si="5"/>
        <v>825.6</v>
      </c>
      <c r="I43" s="50">
        <f t="shared" si="5"/>
        <v>0</v>
      </c>
    </row>
    <row r="44" spans="1:9" ht="15.75">
      <c r="A44" s="71" t="s">
        <v>159</v>
      </c>
      <c r="B44" s="45" t="s">
        <v>89</v>
      </c>
      <c r="C44" s="21" t="s">
        <v>207</v>
      </c>
      <c r="D44" s="32" t="s">
        <v>208</v>
      </c>
      <c r="E44" s="21" t="s">
        <v>167</v>
      </c>
      <c r="F44" s="32"/>
      <c r="G44" s="57" t="s">
        <v>329</v>
      </c>
      <c r="H44" s="37">
        <f>1171-345.4</f>
        <v>825.6</v>
      </c>
      <c r="I44" s="54"/>
    </row>
    <row r="45" spans="1:9" ht="15.75">
      <c r="A45" s="125" t="s">
        <v>122</v>
      </c>
      <c r="B45" s="110" t="s">
        <v>89</v>
      </c>
      <c r="C45" s="107" t="s">
        <v>212</v>
      </c>
      <c r="D45" s="254" t="s">
        <v>133</v>
      </c>
      <c r="E45" s="106"/>
      <c r="F45" s="104"/>
      <c r="G45" s="96"/>
      <c r="H45" s="87">
        <f>H63+H70+H74+H46</f>
        <v>8529</v>
      </c>
      <c r="I45" s="100">
        <f>I63+I70+I74+I46</f>
        <v>0</v>
      </c>
    </row>
    <row r="46" spans="1:9" s="24" customFormat="1" ht="15.75">
      <c r="A46" s="118" t="s">
        <v>21</v>
      </c>
      <c r="B46" s="109" t="s">
        <v>89</v>
      </c>
      <c r="C46" s="18" t="s">
        <v>212</v>
      </c>
      <c r="D46" s="33" t="s">
        <v>207</v>
      </c>
      <c r="E46" s="18"/>
      <c r="F46" s="33"/>
      <c r="G46" s="134"/>
      <c r="H46" s="91">
        <f>H47</f>
        <v>0</v>
      </c>
      <c r="I46" s="99">
        <f>I47</f>
        <v>0</v>
      </c>
    </row>
    <row r="47" spans="1:9" ht="15.75">
      <c r="A47" s="26" t="s">
        <v>88</v>
      </c>
      <c r="B47" s="43" t="s">
        <v>89</v>
      </c>
      <c r="C47" s="23" t="s">
        <v>212</v>
      </c>
      <c r="D47" s="31" t="s">
        <v>207</v>
      </c>
      <c r="E47" s="19" t="s">
        <v>54</v>
      </c>
      <c r="F47" s="31"/>
      <c r="G47" s="88"/>
      <c r="H47" s="39">
        <f>H48+H50+H53+H56+H58+H61</f>
        <v>0</v>
      </c>
      <c r="I47" s="50">
        <f>I48+I50+I53+I56+I58+I61</f>
        <v>0</v>
      </c>
    </row>
    <row r="48" spans="1:9" ht="45.75" customHeight="1">
      <c r="A48" s="113" t="s">
        <v>169</v>
      </c>
      <c r="B48" s="43" t="s">
        <v>89</v>
      </c>
      <c r="C48" s="23" t="s">
        <v>212</v>
      </c>
      <c r="D48" s="31" t="s">
        <v>207</v>
      </c>
      <c r="E48" s="19" t="s">
        <v>168</v>
      </c>
      <c r="F48" s="31"/>
      <c r="G48" s="58"/>
      <c r="H48" s="39">
        <f>H49</f>
        <v>0</v>
      </c>
      <c r="I48" s="50">
        <f>I49</f>
        <v>0</v>
      </c>
    </row>
    <row r="49" spans="1:9" ht="26.25">
      <c r="A49" s="48" t="s">
        <v>170</v>
      </c>
      <c r="B49" s="43" t="s">
        <v>89</v>
      </c>
      <c r="C49" s="23" t="s">
        <v>212</v>
      </c>
      <c r="D49" s="31" t="s">
        <v>207</v>
      </c>
      <c r="E49" s="19" t="s">
        <v>168</v>
      </c>
      <c r="F49" s="31"/>
      <c r="G49" s="52" t="s">
        <v>141</v>
      </c>
      <c r="H49" s="39">
        <f>1130-1130</f>
        <v>0</v>
      </c>
      <c r="I49" s="50">
        <f>1130-1130</f>
        <v>0</v>
      </c>
    </row>
    <row r="50" spans="1:9" ht="15.75">
      <c r="A50" s="26" t="s">
        <v>171</v>
      </c>
      <c r="B50" s="43" t="s">
        <v>89</v>
      </c>
      <c r="C50" s="23" t="s">
        <v>212</v>
      </c>
      <c r="D50" s="31" t="s">
        <v>207</v>
      </c>
      <c r="E50" s="19" t="s">
        <v>172</v>
      </c>
      <c r="F50" s="7"/>
      <c r="G50" s="58"/>
      <c r="H50" s="39">
        <f>H51</f>
        <v>0</v>
      </c>
      <c r="I50" s="50">
        <f>I51</f>
        <v>0</v>
      </c>
    </row>
    <row r="51" spans="1:9" ht="26.25">
      <c r="A51" s="48" t="s">
        <v>174</v>
      </c>
      <c r="B51" s="43" t="s">
        <v>89</v>
      </c>
      <c r="C51" s="23" t="s">
        <v>212</v>
      </c>
      <c r="D51" s="31" t="s">
        <v>207</v>
      </c>
      <c r="E51" s="19" t="s">
        <v>173</v>
      </c>
      <c r="F51" s="7"/>
      <c r="G51" s="58"/>
      <c r="H51" s="39">
        <f>H52</f>
        <v>0</v>
      </c>
      <c r="I51" s="50">
        <f>I52</f>
        <v>0</v>
      </c>
    </row>
    <row r="52" spans="1:9" ht="26.25">
      <c r="A52" s="48" t="s">
        <v>170</v>
      </c>
      <c r="B52" s="43" t="s">
        <v>89</v>
      </c>
      <c r="C52" s="23" t="s">
        <v>212</v>
      </c>
      <c r="D52" s="31" t="s">
        <v>207</v>
      </c>
      <c r="E52" s="19" t="s">
        <v>173</v>
      </c>
      <c r="F52" s="7"/>
      <c r="G52" s="52" t="s">
        <v>141</v>
      </c>
      <c r="H52" s="39">
        <f>10113-10113</f>
        <v>0</v>
      </c>
      <c r="I52" s="51"/>
    </row>
    <row r="53" spans="1:9" ht="26.25">
      <c r="A53" s="48" t="s">
        <v>175</v>
      </c>
      <c r="B53" s="43" t="s">
        <v>89</v>
      </c>
      <c r="C53" s="23" t="s">
        <v>212</v>
      </c>
      <c r="D53" s="31" t="s">
        <v>207</v>
      </c>
      <c r="E53" s="19" t="s">
        <v>176</v>
      </c>
      <c r="F53" s="7"/>
      <c r="G53" s="58"/>
      <c r="H53" s="39">
        <f>H54</f>
        <v>0</v>
      </c>
      <c r="I53" s="50">
        <f>I54</f>
        <v>0</v>
      </c>
    </row>
    <row r="54" spans="1:9" ht="15.75">
      <c r="A54" s="26" t="s">
        <v>177</v>
      </c>
      <c r="B54" s="43" t="s">
        <v>89</v>
      </c>
      <c r="C54" s="23" t="s">
        <v>212</v>
      </c>
      <c r="D54" s="31" t="s">
        <v>207</v>
      </c>
      <c r="E54" s="19" t="s">
        <v>178</v>
      </c>
      <c r="F54" s="7"/>
      <c r="G54" s="52"/>
      <c r="H54" s="39">
        <f>H55</f>
        <v>0</v>
      </c>
      <c r="I54" s="50">
        <f>I55</f>
        <v>0</v>
      </c>
    </row>
    <row r="55" spans="1:9" ht="26.25">
      <c r="A55" s="48" t="s">
        <v>170</v>
      </c>
      <c r="B55" s="43" t="s">
        <v>89</v>
      </c>
      <c r="C55" s="23" t="s">
        <v>212</v>
      </c>
      <c r="D55" s="31" t="s">
        <v>207</v>
      </c>
      <c r="E55" s="19" t="s">
        <v>178</v>
      </c>
      <c r="F55" s="7"/>
      <c r="G55" s="52" t="s">
        <v>141</v>
      </c>
      <c r="H55" s="39">
        <f>515.2-515.2</f>
        <v>0</v>
      </c>
      <c r="I55" s="51"/>
    </row>
    <row r="56" spans="1:9" ht="26.25">
      <c r="A56" s="48" t="s">
        <v>180</v>
      </c>
      <c r="B56" s="43" t="s">
        <v>89</v>
      </c>
      <c r="C56" s="19" t="s">
        <v>212</v>
      </c>
      <c r="D56" s="31" t="s">
        <v>207</v>
      </c>
      <c r="E56" s="19" t="s">
        <v>179</v>
      </c>
      <c r="F56" s="7"/>
      <c r="G56" s="58"/>
      <c r="H56" s="39">
        <f>H57</f>
        <v>0</v>
      </c>
      <c r="I56" s="50">
        <f>I57</f>
        <v>0</v>
      </c>
    </row>
    <row r="57" spans="1:9" ht="26.25">
      <c r="A57" s="48" t="s">
        <v>170</v>
      </c>
      <c r="B57" s="43" t="s">
        <v>89</v>
      </c>
      <c r="C57" s="19" t="s">
        <v>212</v>
      </c>
      <c r="D57" s="31" t="s">
        <v>207</v>
      </c>
      <c r="E57" s="19" t="s">
        <v>179</v>
      </c>
      <c r="F57" s="7"/>
      <c r="G57" s="52" t="s">
        <v>141</v>
      </c>
      <c r="H57" s="39">
        <f>4235.8-740.8-3495</f>
        <v>0</v>
      </c>
      <c r="I57" s="51"/>
    </row>
    <row r="58" spans="1:9" ht="15.75">
      <c r="A58" s="26" t="s">
        <v>55</v>
      </c>
      <c r="B58" s="43" t="s">
        <v>89</v>
      </c>
      <c r="C58" s="19" t="s">
        <v>212</v>
      </c>
      <c r="D58" s="31" t="s">
        <v>207</v>
      </c>
      <c r="E58" s="19" t="s">
        <v>181</v>
      </c>
      <c r="F58" s="7"/>
      <c r="G58" s="58"/>
      <c r="H58" s="39">
        <f>H59</f>
        <v>0</v>
      </c>
      <c r="I58" s="50">
        <f>I59</f>
        <v>0</v>
      </c>
    </row>
    <row r="59" spans="1:9" ht="15.75">
      <c r="A59" s="26" t="s">
        <v>182</v>
      </c>
      <c r="B59" s="43" t="s">
        <v>89</v>
      </c>
      <c r="C59" s="19" t="s">
        <v>212</v>
      </c>
      <c r="D59" s="31" t="s">
        <v>207</v>
      </c>
      <c r="E59" s="19" t="s">
        <v>183</v>
      </c>
      <c r="F59" s="7"/>
      <c r="G59" s="58"/>
      <c r="H59" s="39">
        <f>H60</f>
        <v>0</v>
      </c>
      <c r="I59" s="50">
        <f>I60</f>
        <v>0</v>
      </c>
    </row>
    <row r="60" spans="1:9" ht="26.25">
      <c r="A60" s="48" t="s">
        <v>170</v>
      </c>
      <c r="B60" s="43" t="s">
        <v>89</v>
      </c>
      <c r="C60" s="19" t="s">
        <v>212</v>
      </c>
      <c r="D60" s="31" t="s">
        <v>207</v>
      </c>
      <c r="E60" s="19" t="s">
        <v>183</v>
      </c>
      <c r="F60" s="7"/>
      <c r="G60" s="52" t="s">
        <v>141</v>
      </c>
      <c r="H60" s="39">
        <f>160-160</f>
        <v>0</v>
      </c>
      <c r="I60" s="51"/>
    </row>
    <row r="61" spans="1:9" ht="26.25">
      <c r="A61" s="48" t="s">
        <v>112</v>
      </c>
      <c r="B61" s="43" t="s">
        <v>89</v>
      </c>
      <c r="C61" s="19" t="s">
        <v>212</v>
      </c>
      <c r="D61" s="31" t="s">
        <v>207</v>
      </c>
      <c r="E61" s="19" t="s">
        <v>184</v>
      </c>
      <c r="F61" s="7"/>
      <c r="G61" s="58"/>
      <c r="H61" s="39">
        <f>H62</f>
        <v>0</v>
      </c>
      <c r="I61" s="50">
        <f>I62</f>
        <v>0</v>
      </c>
    </row>
    <row r="62" spans="1:9" ht="15.75">
      <c r="A62" s="244" t="s">
        <v>185</v>
      </c>
      <c r="B62" s="43" t="s">
        <v>89</v>
      </c>
      <c r="C62" s="21" t="s">
        <v>212</v>
      </c>
      <c r="D62" s="32" t="s">
        <v>207</v>
      </c>
      <c r="E62" s="21" t="s">
        <v>184</v>
      </c>
      <c r="F62" s="5"/>
      <c r="G62" s="53" t="s">
        <v>141</v>
      </c>
      <c r="H62" s="37">
        <f>105-105</f>
        <v>0</v>
      </c>
      <c r="I62" s="54"/>
    </row>
    <row r="63" spans="1:9" s="24" customFormat="1" ht="26.25">
      <c r="A63" s="245" t="s">
        <v>186</v>
      </c>
      <c r="B63" s="109" t="s">
        <v>89</v>
      </c>
      <c r="C63" s="107" t="s">
        <v>212</v>
      </c>
      <c r="D63" s="119" t="s">
        <v>213</v>
      </c>
      <c r="E63" s="107"/>
      <c r="F63" s="105"/>
      <c r="G63" s="98"/>
      <c r="H63" s="87">
        <f>H67+H64</f>
        <v>2808</v>
      </c>
      <c r="I63" s="100">
        <f>I67+I64</f>
        <v>0</v>
      </c>
    </row>
    <row r="64" spans="1:9" ht="29.25" customHeight="1">
      <c r="A64" s="70" t="s">
        <v>151</v>
      </c>
      <c r="B64" s="43" t="s">
        <v>89</v>
      </c>
      <c r="C64" s="23" t="s">
        <v>212</v>
      </c>
      <c r="D64" s="30" t="s">
        <v>213</v>
      </c>
      <c r="E64" s="23" t="s">
        <v>152</v>
      </c>
      <c r="F64" s="30" t="s">
        <v>51</v>
      </c>
      <c r="G64" s="97"/>
      <c r="H64" s="38">
        <f>H65</f>
        <v>790</v>
      </c>
      <c r="I64" s="86">
        <f>I65</f>
        <v>0</v>
      </c>
    </row>
    <row r="65" spans="1:9" ht="28.5" customHeight="1">
      <c r="A65" s="70" t="s">
        <v>153</v>
      </c>
      <c r="B65" s="43" t="s">
        <v>89</v>
      </c>
      <c r="C65" s="23" t="s">
        <v>212</v>
      </c>
      <c r="D65" s="30" t="s">
        <v>213</v>
      </c>
      <c r="E65" s="23" t="s">
        <v>187</v>
      </c>
      <c r="F65" s="30" t="s">
        <v>154</v>
      </c>
      <c r="G65" s="97"/>
      <c r="H65" s="38">
        <f>H66</f>
        <v>790</v>
      </c>
      <c r="I65" s="86">
        <f>I66</f>
        <v>0</v>
      </c>
    </row>
    <row r="66" spans="1:9" ht="15" customHeight="1">
      <c r="A66" s="70" t="s">
        <v>162</v>
      </c>
      <c r="B66" s="43" t="s">
        <v>89</v>
      </c>
      <c r="C66" s="23" t="s">
        <v>212</v>
      </c>
      <c r="D66" s="30" t="s">
        <v>213</v>
      </c>
      <c r="E66" s="23" t="s">
        <v>187</v>
      </c>
      <c r="F66" s="30"/>
      <c r="G66" s="97" t="s">
        <v>140</v>
      </c>
      <c r="H66" s="38">
        <v>790</v>
      </c>
      <c r="I66" s="86"/>
    </row>
    <row r="67" spans="1:9" ht="15.75">
      <c r="A67" s="26" t="s">
        <v>22</v>
      </c>
      <c r="B67" s="44" t="s">
        <v>89</v>
      </c>
      <c r="C67" s="19" t="s">
        <v>212</v>
      </c>
      <c r="D67" s="31" t="s">
        <v>213</v>
      </c>
      <c r="E67" s="19" t="s">
        <v>23</v>
      </c>
      <c r="F67" s="31"/>
      <c r="G67" s="88"/>
      <c r="H67" s="39">
        <f>H68</f>
        <v>2018</v>
      </c>
      <c r="I67" s="50">
        <f>I68</f>
        <v>0</v>
      </c>
    </row>
    <row r="68" spans="1:9" ht="26.25">
      <c r="A68" s="48" t="s">
        <v>125</v>
      </c>
      <c r="B68" s="45" t="s">
        <v>89</v>
      </c>
      <c r="C68" s="21" t="s">
        <v>212</v>
      </c>
      <c r="D68" s="32" t="s">
        <v>213</v>
      </c>
      <c r="E68" s="19" t="s">
        <v>188</v>
      </c>
      <c r="F68" s="31"/>
      <c r="G68" s="60"/>
      <c r="H68" s="37">
        <f>H69</f>
        <v>2018</v>
      </c>
      <c r="I68" s="61">
        <f>I69</f>
        <v>0</v>
      </c>
    </row>
    <row r="69" spans="1:9" ht="15.75">
      <c r="A69" s="27" t="s">
        <v>189</v>
      </c>
      <c r="B69" s="45" t="s">
        <v>89</v>
      </c>
      <c r="C69" s="21" t="s">
        <v>212</v>
      </c>
      <c r="D69" s="32" t="s">
        <v>213</v>
      </c>
      <c r="E69" s="19" t="s">
        <v>188</v>
      </c>
      <c r="F69" s="31"/>
      <c r="G69" s="97" t="s">
        <v>89</v>
      </c>
      <c r="H69" s="37">
        <f>3234-100-716-400</f>
        <v>2018</v>
      </c>
      <c r="I69" s="51"/>
    </row>
    <row r="70" spans="1:9" s="24" customFormat="1" ht="15.75">
      <c r="A70" s="120" t="s">
        <v>300</v>
      </c>
      <c r="B70" s="112" t="s">
        <v>89</v>
      </c>
      <c r="C70" s="108" t="s">
        <v>212</v>
      </c>
      <c r="D70" s="121" t="s">
        <v>214</v>
      </c>
      <c r="E70" s="107"/>
      <c r="F70" s="119"/>
      <c r="G70" s="131"/>
      <c r="H70" s="87">
        <f aca="true" t="shared" si="6" ref="H70:I72">H71</f>
        <v>210</v>
      </c>
      <c r="I70" s="100">
        <f t="shared" si="6"/>
        <v>0</v>
      </c>
    </row>
    <row r="71" spans="1:9" ht="26.25">
      <c r="A71" s="48" t="s">
        <v>114</v>
      </c>
      <c r="B71" s="45" t="s">
        <v>89</v>
      </c>
      <c r="C71" s="21" t="s">
        <v>212</v>
      </c>
      <c r="D71" s="32" t="s">
        <v>214</v>
      </c>
      <c r="E71" s="19" t="s">
        <v>87</v>
      </c>
      <c r="F71" s="31"/>
      <c r="G71" s="88"/>
      <c r="H71" s="39">
        <f t="shared" si="6"/>
        <v>210</v>
      </c>
      <c r="I71" s="50">
        <f t="shared" si="6"/>
        <v>0</v>
      </c>
    </row>
    <row r="72" spans="1:9" ht="15.75">
      <c r="A72" s="26" t="s">
        <v>28</v>
      </c>
      <c r="B72" s="44" t="s">
        <v>89</v>
      </c>
      <c r="C72" s="19" t="s">
        <v>212</v>
      </c>
      <c r="D72" s="31" t="s">
        <v>214</v>
      </c>
      <c r="E72" s="19" t="s">
        <v>193</v>
      </c>
      <c r="F72" s="7"/>
      <c r="G72" s="58"/>
      <c r="H72" s="39">
        <f t="shared" si="6"/>
        <v>210</v>
      </c>
      <c r="I72" s="50">
        <f t="shared" si="6"/>
        <v>0</v>
      </c>
    </row>
    <row r="73" spans="1:9" ht="15.75">
      <c r="A73" s="8" t="s">
        <v>189</v>
      </c>
      <c r="B73" s="43" t="s">
        <v>89</v>
      </c>
      <c r="C73" s="23" t="s">
        <v>212</v>
      </c>
      <c r="D73" s="30" t="s">
        <v>214</v>
      </c>
      <c r="E73" s="19" t="s">
        <v>193</v>
      </c>
      <c r="F73" s="30"/>
      <c r="G73" s="97" t="s">
        <v>89</v>
      </c>
      <c r="H73" s="38">
        <f>318-108</f>
        <v>210</v>
      </c>
      <c r="I73" s="85"/>
    </row>
    <row r="74" spans="1:9" s="24" customFormat="1" ht="26.25">
      <c r="A74" s="135" t="s">
        <v>113</v>
      </c>
      <c r="B74" s="109" t="s">
        <v>89</v>
      </c>
      <c r="C74" s="18" t="s">
        <v>212</v>
      </c>
      <c r="D74" s="33" t="s">
        <v>211</v>
      </c>
      <c r="E74" s="18"/>
      <c r="F74" s="33"/>
      <c r="G74" s="134"/>
      <c r="H74" s="91">
        <f>H75+H78</f>
        <v>5511</v>
      </c>
      <c r="I74" s="99">
        <f>I75+I78</f>
        <v>0</v>
      </c>
    </row>
    <row r="75" spans="1:9" ht="26.25">
      <c r="A75" s="48" t="s">
        <v>114</v>
      </c>
      <c r="B75" s="45" t="s">
        <v>89</v>
      </c>
      <c r="C75" s="21" t="s">
        <v>212</v>
      </c>
      <c r="D75" s="32" t="s">
        <v>211</v>
      </c>
      <c r="E75" s="21" t="s">
        <v>87</v>
      </c>
      <c r="F75" s="5"/>
      <c r="G75" s="88"/>
      <c r="H75" s="37">
        <f>H76</f>
        <v>621</v>
      </c>
      <c r="I75" s="61">
        <f>I76</f>
        <v>0</v>
      </c>
    </row>
    <row r="76" spans="1:9" ht="15.75">
      <c r="A76" s="26" t="s">
        <v>28</v>
      </c>
      <c r="B76" s="45" t="s">
        <v>89</v>
      </c>
      <c r="C76" s="21" t="s">
        <v>212</v>
      </c>
      <c r="D76" s="32" t="s">
        <v>211</v>
      </c>
      <c r="E76" s="21" t="s">
        <v>193</v>
      </c>
      <c r="F76" s="5"/>
      <c r="G76" s="58"/>
      <c r="H76" s="37">
        <f>H77</f>
        <v>621</v>
      </c>
      <c r="I76" s="61">
        <f>I77</f>
        <v>0</v>
      </c>
    </row>
    <row r="77" spans="1:9" ht="15.75">
      <c r="A77" s="8" t="s">
        <v>189</v>
      </c>
      <c r="B77" s="45" t="s">
        <v>89</v>
      </c>
      <c r="C77" s="21" t="s">
        <v>212</v>
      </c>
      <c r="D77" s="32" t="s">
        <v>211</v>
      </c>
      <c r="E77" s="21" t="s">
        <v>193</v>
      </c>
      <c r="F77" s="5"/>
      <c r="G77" s="97" t="s">
        <v>89</v>
      </c>
      <c r="H77" s="37">
        <f>621+1310-690-620</f>
        <v>621</v>
      </c>
      <c r="I77" s="54"/>
    </row>
    <row r="78" spans="1:9" ht="15.75">
      <c r="A78" s="8" t="s">
        <v>143</v>
      </c>
      <c r="B78" s="45" t="s">
        <v>89</v>
      </c>
      <c r="C78" s="21" t="s">
        <v>212</v>
      </c>
      <c r="D78" s="32" t="s">
        <v>211</v>
      </c>
      <c r="E78" s="21" t="s">
        <v>144</v>
      </c>
      <c r="F78" s="5"/>
      <c r="G78" s="130"/>
      <c r="H78" s="37">
        <f>H79+H81</f>
        <v>4890</v>
      </c>
      <c r="I78" s="61">
        <f>I79</f>
        <v>0</v>
      </c>
    </row>
    <row r="79" spans="1:9" ht="41.25" customHeight="1">
      <c r="A79" s="113" t="s">
        <v>310</v>
      </c>
      <c r="B79" s="45" t="s">
        <v>89</v>
      </c>
      <c r="C79" s="21" t="s">
        <v>212</v>
      </c>
      <c r="D79" s="32" t="s">
        <v>211</v>
      </c>
      <c r="E79" s="21" t="s">
        <v>311</v>
      </c>
      <c r="F79" s="5"/>
      <c r="G79" s="130"/>
      <c r="H79" s="37">
        <f>H80</f>
        <v>4390</v>
      </c>
      <c r="I79" s="61">
        <f>I80</f>
        <v>0</v>
      </c>
    </row>
    <row r="80" spans="1:9" ht="15.75">
      <c r="A80" s="28" t="s">
        <v>159</v>
      </c>
      <c r="B80" s="44" t="s">
        <v>89</v>
      </c>
      <c r="C80" s="21" t="s">
        <v>212</v>
      </c>
      <c r="D80" s="32" t="s">
        <v>211</v>
      </c>
      <c r="E80" s="21" t="s">
        <v>311</v>
      </c>
      <c r="F80" s="5"/>
      <c r="G80" s="130" t="s">
        <v>329</v>
      </c>
      <c r="H80" s="37">
        <f>3640+750</f>
        <v>4390</v>
      </c>
      <c r="I80" s="54"/>
    </row>
    <row r="81" spans="1:9" ht="45" customHeight="1">
      <c r="A81" s="113" t="s">
        <v>350</v>
      </c>
      <c r="B81" s="44" t="s">
        <v>89</v>
      </c>
      <c r="C81" s="19" t="s">
        <v>212</v>
      </c>
      <c r="D81" s="31" t="s">
        <v>211</v>
      </c>
      <c r="E81" s="19" t="s">
        <v>349</v>
      </c>
      <c r="F81" s="31"/>
      <c r="G81" s="88"/>
      <c r="H81" s="37">
        <f>H82</f>
        <v>500</v>
      </c>
      <c r="I81" s="54"/>
    </row>
    <row r="82" spans="1:9" ht="15.75">
      <c r="A82" s="71" t="s">
        <v>159</v>
      </c>
      <c r="B82" s="44" t="s">
        <v>206</v>
      </c>
      <c r="C82" s="19" t="s">
        <v>212</v>
      </c>
      <c r="D82" s="31" t="s">
        <v>211</v>
      </c>
      <c r="E82" s="19" t="s">
        <v>349</v>
      </c>
      <c r="F82" s="31"/>
      <c r="G82" s="88" t="s">
        <v>329</v>
      </c>
      <c r="H82" s="37">
        <v>500</v>
      </c>
      <c r="I82" s="54"/>
    </row>
    <row r="83" spans="1:9" ht="15.75">
      <c r="A83" s="125" t="s">
        <v>67</v>
      </c>
      <c r="B83" s="110" t="s">
        <v>89</v>
      </c>
      <c r="C83" s="107" t="s">
        <v>208</v>
      </c>
      <c r="D83" s="119" t="s">
        <v>133</v>
      </c>
      <c r="E83" s="107"/>
      <c r="F83" s="105"/>
      <c r="G83" s="98"/>
      <c r="H83" s="87">
        <f>H84+H88+H93+H97</f>
        <v>46591</v>
      </c>
      <c r="I83" s="100">
        <f>I84+I88+I93+I97</f>
        <v>0</v>
      </c>
    </row>
    <row r="84" spans="1:9" ht="15.75">
      <c r="A84" s="115" t="s">
        <v>194</v>
      </c>
      <c r="B84" s="109" t="s">
        <v>89</v>
      </c>
      <c r="C84" s="18" t="s">
        <v>208</v>
      </c>
      <c r="D84" s="33" t="s">
        <v>215</v>
      </c>
      <c r="E84" s="18"/>
      <c r="F84" s="33"/>
      <c r="G84" s="129"/>
      <c r="H84" s="91">
        <f aca="true" t="shared" si="7" ref="H84:I86">H85</f>
        <v>155</v>
      </c>
      <c r="I84" s="99">
        <f t="shared" si="7"/>
        <v>0</v>
      </c>
    </row>
    <row r="85" spans="1:9" ht="15.75">
      <c r="A85" s="28" t="s">
        <v>301</v>
      </c>
      <c r="B85" s="43" t="s">
        <v>89</v>
      </c>
      <c r="C85" s="23" t="s">
        <v>208</v>
      </c>
      <c r="D85" s="30" t="s">
        <v>215</v>
      </c>
      <c r="E85" s="23" t="s">
        <v>302</v>
      </c>
      <c r="F85" s="30"/>
      <c r="G85" s="130"/>
      <c r="H85" s="38">
        <f t="shared" si="7"/>
        <v>155</v>
      </c>
      <c r="I85" s="86">
        <f t="shared" si="7"/>
        <v>0</v>
      </c>
    </row>
    <row r="86" spans="1:9" ht="15.75">
      <c r="A86" s="28" t="s">
        <v>303</v>
      </c>
      <c r="B86" s="43" t="s">
        <v>89</v>
      </c>
      <c r="C86" s="23" t="s">
        <v>208</v>
      </c>
      <c r="D86" s="30" t="s">
        <v>215</v>
      </c>
      <c r="E86" s="23" t="s">
        <v>304</v>
      </c>
      <c r="F86" s="30"/>
      <c r="G86" s="130"/>
      <c r="H86" s="38">
        <f t="shared" si="7"/>
        <v>155</v>
      </c>
      <c r="I86" s="86">
        <f t="shared" si="7"/>
        <v>0</v>
      </c>
    </row>
    <row r="87" spans="1:9" ht="15.75">
      <c r="A87" s="71" t="s">
        <v>159</v>
      </c>
      <c r="B87" s="43" t="s">
        <v>89</v>
      </c>
      <c r="C87" s="23" t="s">
        <v>208</v>
      </c>
      <c r="D87" s="30" t="s">
        <v>215</v>
      </c>
      <c r="E87" s="23" t="s">
        <v>304</v>
      </c>
      <c r="F87" s="30"/>
      <c r="G87" s="130" t="s">
        <v>329</v>
      </c>
      <c r="H87" s="38">
        <f>263-108</f>
        <v>155</v>
      </c>
      <c r="I87" s="86"/>
    </row>
    <row r="88" spans="1:9" s="24" customFormat="1" ht="15.75">
      <c r="A88" s="118" t="s">
        <v>103</v>
      </c>
      <c r="B88" s="109" t="s">
        <v>89</v>
      </c>
      <c r="C88" s="18" t="s">
        <v>208</v>
      </c>
      <c r="D88" s="33" t="s">
        <v>216</v>
      </c>
      <c r="E88" s="18"/>
      <c r="F88" s="33"/>
      <c r="G88" s="134"/>
      <c r="H88" s="91">
        <f aca="true" t="shared" si="8" ref="H88:I91">H89</f>
        <v>9099</v>
      </c>
      <c r="I88" s="99">
        <f t="shared" si="8"/>
        <v>0</v>
      </c>
    </row>
    <row r="89" spans="1:9" ht="15.75">
      <c r="A89" s="26" t="s">
        <v>195</v>
      </c>
      <c r="B89" s="44" t="s">
        <v>89</v>
      </c>
      <c r="C89" s="23" t="s">
        <v>208</v>
      </c>
      <c r="D89" s="30" t="s">
        <v>216</v>
      </c>
      <c r="E89" s="19" t="s">
        <v>196</v>
      </c>
      <c r="F89" s="31"/>
      <c r="G89" s="88"/>
      <c r="H89" s="39">
        <f t="shared" si="8"/>
        <v>9099</v>
      </c>
      <c r="I89" s="50">
        <f t="shared" si="8"/>
        <v>0</v>
      </c>
    </row>
    <row r="90" spans="1:9" ht="15.75">
      <c r="A90" s="26" t="s">
        <v>197</v>
      </c>
      <c r="B90" s="44" t="s">
        <v>89</v>
      </c>
      <c r="C90" s="23" t="s">
        <v>208</v>
      </c>
      <c r="D90" s="30" t="s">
        <v>216</v>
      </c>
      <c r="E90" s="19" t="s">
        <v>198</v>
      </c>
      <c r="F90" s="31"/>
      <c r="G90" s="60"/>
      <c r="H90" s="39">
        <f t="shared" si="8"/>
        <v>9099</v>
      </c>
      <c r="I90" s="50">
        <f t="shared" si="8"/>
        <v>0</v>
      </c>
    </row>
    <row r="91" spans="1:9" ht="42.75" customHeight="1">
      <c r="A91" s="113" t="s">
        <v>199</v>
      </c>
      <c r="B91" s="43" t="s">
        <v>89</v>
      </c>
      <c r="C91" s="23" t="s">
        <v>208</v>
      </c>
      <c r="D91" s="30" t="s">
        <v>216</v>
      </c>
      <c r="E91" s="19" t="s">
        <v>200</v>
      </c>
      <c r="F91" s="31" t="s">
        <v>51</v>
      </c>
      <c r="G91" s="88"/>
      <c r="H91" s="38">
        <f t="shared" si="8"/>
        <v>9099</v>
      </c>
      <c r="I91" s="86">
        <f t="shared" si="8"/>
        <v>0</v>
      </c>
    </row>
    <row r="92" spans="1:9" ht="15.75">
      <c r="A92" s="28" t="s">
        <v>201</v>
      </c>
      <c r="B92" s="43" t="s">
        <v>89</v>
      </c>
      <c r="C92" s="23" t="s">
        <v>208</v>
      </c>
      <c r="D92" s="30" t="s">
        <v>216</v>
      </c>
      <c r="E92" s="19" t="s">
        <v>200</v>
      </c>
      <c r="F92" s="31" t="s">
        <v>155</v>
      </c>
      <c r="G92" s="130" t="s">
        <v>90</v>
      </c>
      <c r="H92" s="38">
        <v>9099</v>
      </c>
      <c r="I92" s="86"/>
    </row>
    <row r="93" spans="1:9" s="24" customFormat="1" ht="15.75">
      <c r="A93" s="118" t="s">
        <v>104</v>
      </c>
      <c r="B93" s="109" t="s">
        <v>89</v>
      </c>
      <c r="C93" s="18" t="s">
        <v>208</v>
      </c>
      <c r="D93" s="33" t="s">
        <v>213</v>
      </c>
      <c r="E93" s="107"/>
      <c r="F93" s="119"/>
      <c r="G93" s="305"/>
      <c r="H93" s="91">
        <f aca="true" t="shared" si="9" ref="H93:I95">H94</f>
        <v>5776</v>
      </c>
      <c r="I93" s="99">
        <f t="shared" si="9"/>
        <v>0</v>
      </c>
    </row>
    <row r="94" spans="1:9" ht="15.75">
      <c r="A94" s="28" t="s">
        <v>104</v>
      </c>
      <c r="B94" s="43" t="s">
        <v>89</v>
      </c>
      <c r="C94" s="23" t="s">
        <v>208</v>
      </c>
      <c r="D94" s="30" t="s">
        <v>213</v>
      </c>
      <c r="E94" s="19" t="s">
        <v>217</v>
      </c>
      <c r="F94" s="31"/>
      <c r="G94" s="304"/>
      <c r="H94" s="38">
        <f t="shared" si="9"/>
        <v>5776</v>
      </c>
      <c r="I94" s="86">
        <f t="shared" si="9"/>
        <v>0</v>
      </c>
    </row>
    <row r="95" spans="1:9" ht="15.75">
      <c r="A95" s="28" t="s">
        <v>218</v>
      </c>
      <c r="B95" s="43" t="s">
        <v>89</v>
      </c>
      <c r="C95" s="23" t="s">
        <v>208</v>
      </c>
      <c r="D95" s="30" t="s">
        <v>213</v>
      </c>
      <c r="E95" s="19" t="s">
        <v>220</v>
      </c>
      <c r="F95" s="31"/>
      <c r="G95" s="304"/>
      <c r="H95" s="38">
        <f t="shared" si="9"/>
        <v>5776</v>
      </c>
      <c r="I95" s="86">
        <f t="shared" si="9"/>
        <v>0</v>
      </c>
    </row>
    <row r="96" spans="1:9" ht="15.75">
      <c r="A96" s="28" t="s">
        <v>201</v>
      </c>
      <c r="B96" s="43" t="s">
        <v>89</v>
      </c>
      <c r="C96" s="23" t="s">
        <v>208</v>
      </c>
      <c r="D96" s="30" t="s">
        <v>213</v>
      </c>
      <c r="E96" s="19" t="s">
        <v>220</v>
      </c>
      <c r="F96" s="31"/>
      <c r="G96" s="140" t="s">
        <v>90</v>
      </c>
      <c r="H96" s="38">
        <v>5776</v>
      </c>
      <c r="I96" s="86"/>
    </row>
    <row r="97" spans="1:9" s="24" customFormat="1" ht="15.75">
      <c r="A97" s="118" t="s">
        <v>68</v>
      </c>
      <c r="B97" s="109" t="s">
        <v>89</v>
      </c>
      <c r="C97" s="18" t="s">
        <v>208</v>
      </c>
      <c r="D97" s="33" t="s">
        <v>210</v>
      </c>
      <c r="E97" s="107"/>
      <c r="F97" s="119"/>
      <c r="G97" s="141"/>
      <c r="H97" s="91">
        <f>H98+H100+H102</f>
        <v>31561</v>
      </c>
      <c r="I97" s="99">
        <f>I98+I100</f>
        <v>0</v>
      </c>
    </row>
    <row r="98" spans="1:9" ht="19.5" customHeight="1">
      <c r="A98" s="36" t="s">
        <v>98</v>
      </c>
      <c r="B98" s="43" t="s">
        <v>89</v>
      </c>
      <c r="C98" s="23" t="s">
        <v>208</v>
      </c>
      <c r="D98" s="30" t="s">
        <v>210</v>
      </c>
      <c r="E98" s="23" t="s">
        <v>99</v>
      </c>
      <c r="F98" s="30"/>
      <c r="G98" s="88"/>
      <c r="H98" s="38">
        <f>H99</f>
        <v>4700</v>
      </c>
      <c r="I98" s="86">
        <f>I99</f>
        <v>0</v>
      </c>
    </row>
    <row r="99" spans="1:9" ht="15.75">
      <c r="A99" s="71" t="s">
        <v>159</v>
      </c>
      <c r="B99" s="43" t="s">
        <v>89</v>
      </c>
      <c r="C99" s="23" t="s">
        <v>208</v>
      </c>
      <c r="D99" s="30" t="s">
        <v>210</v>
      </c>
      <c r="E99" s="23" t="s">
        <v>99</v>
      </c>
      <c r="F99" s="30"/>
      <c r="G99" s="130" t="s">
        <v>329</v>
      </c>
      <c r="H99" s="38">
        <f>4200+5000+1020-1020-5000+4500+500-4500</f>
        <v>4700</v>
      </c>
      <c r="I99" s="51"/>
    </row>
    <row r="100" spans="1:9" ht="16.5" customHeight="1">
      <c r="A100" s="48" t="s">
        <v>115</v>
      </c>
      <c r="B100" s="44" t="s">
        <v>89</v>
      </c>
      <c r="C100" s="23" t="s">
        <v>208</v>
      </c>
      <c r="D100" s="31" t="s">
        <v>210</v>
      </c>
      <c r="E100" s="19" t="s">
        <v>79</v>
      </c>
      <c r="F100" s="31"/>
      <c r="G100" s="88"/>
      <c r="H100" s="39">
        <f>H101</f>
        <v>19972</v>
      </c>
      <c r="I100" s="50">
        <f>I101</f>
        <v>0</v>
      </c>
    </row>
    <row r="101" spans="1:9" ht="15.75">
      <c r="A101" s="71" t="s">
        <v>159</v>
      </c>
      <c r="B101" s="45" t="s">
        <v>89</v>
      </c>
      <c r="C101" s="23" t="s">
        <v>208</v>
      </c>
      <c r="D101" s="32" t="s">
        <v>210</v>
      </c>
      <c r="E101" s="21" t="s">
        <v>79</v>
      </c>
      <c r="F101" s="32"/>
      <c r="G101" s="130" t="s">
        <v>329</v>
      </c>
      <c r="H101" s="37">
        <f>298+171+2293+100+11500+5610</f>
        <v>19972</v>
      </c>
      <c r="I101" s="54"/>
    </row>
    <row r="102" spans="1:9" ht="15.75">
      <c r="A102" s="71" t="s">
        <v>143</v>
      </c>
      <c r="B102" s="45" t="s">
        <v>89</v>
      </c>
      <c r="C102" s="23" t="s">
        <v>208</v>
      </c>
      <c r="D102" s="32" t="s">
        <v>210</v>
      </c>
      <c r="E102" s="21" t="s">
        <v>144</v>
      </c>
      <c r="F102" s="32"/>
      <c r="G102" s="130"/>
      <c r="H102" s="37">
        <f>H103</f>
        <v>6889</v>
      </c>
      <c r="I102" s="54"/>
    </row>
    <row r="103" spans="1:9" ht="26.25">
      <c r="A103" s="70" t="s">
        <v>381</v>
      </c>
      <c r="B103" s="45" t="s">
        <v>89</v>
      </c>
      <c r="C103" s="23" t="s">
        <v>208</v>
      </c>
      <c r="D103" s="32" t="s">
        <v>210</v>
      </c>
      <c r="E103" s="21" t="s">
        <v>382</v>
      </c>
      <c r="F103" s="32"/>
      <c r="G103" s="130"/>
      <c r="H103" s="37">
        <f>H104</f>
        <v>6889</v>
      </c>
      <c r="I103" s="54"/>
    </row>
    <row r="104" spans="1:9" ht="15.75">
      <c r="A104" s="71" t="s">
        <v>159</v>
      </c>
      <c r="B104" s="45" t="s">
        <v>89</v>
      </c>
      <c r="C104" s="23" t="s">
        <v>208</v>
      </c>
      <c r="D104" s="32" t="s">
        <v>210</v>
      </c>
      <c r="E104" s="21" t="s">
        <v>382</v>
      </c>
      <c r="F104" s="32" t="s">
        <v>329</v>
      </c>
      <c r="G104" s="130" t="s">
        <v>329</v>
      </c>
      <c r="H104" s="37">
        <v>6889</v>
      </c>
      <c r="I104" s="54"/>
    </row>
    <row r="105" spans="1:9" s="24" customFormat="1" ht="15.75">
      <c r="A105" s="125" t="s">
        <v>24</v>
      </c>
      <c r="B105" s="110" t="s">
        <v>89</v>
      </c>
      <c r="C105" s="107" t="s">
        <v>221</v>
      </c>
      <c r="D105" s="119" t="s">
        <v>133</v>
      </c>
      <c r="E105" s="107"/>
      <c r="F105" s="105"/>
      <c r="G105" s="98"/>
      <c r="H105" s="87">
        <f>H106+H126+H157</f>
        <v>551532.4</v>
      </c>
      <c r="I105" s="87">
        <f>I106+I126+I157</f>
        <v>41358.7</v>
      </c>
    </row>
    <row r="106" spans="1:9" s="24" customFormat="1" ht="15.75">
      <c r="A106" s="115" t="s">
        <v>72</v>
      </c>
      <c r="B106" s="110" t="s">
        <v>89</v>
      </c>
      <c r="C106" s="107" t="s">
        <v>221</v>
      </c>
      <c r="D106" s="119" t="s">
        <v>206</v>
      </c>
      <c r="E106" s="107"/>
      <c r="F106" s="105"/>
      <c r="G106" s="98"/>
      <c r="H106" s="87">
        <f>H118+H121+H114+H107</f>
        <v>133418.7</v>
      </c>
      <c r="I106" s="87">
        <f>I118+I121+I114+I107</f>
        <v>36124</v>
      </c>
    </row>
    <row r="107" spans="1:9" s="24" customFormat="1" ht="35.25" customHeight="1">
      <c r="A107" s="241" t="s">
        <v>413</v>
      </c>
      <c r="B107" s="44" t="s">
        <v>89</v>
      </c>
      <c r="C107" s="19" t="s">
        <v>221</v>
      </c>
      <c r="D107" s="31" t="s">
        <v>206</v>
      </c>
      <c r="E107" s="23" t="s">
        <v>416</v>
      </c>
      <c r="F107" s="30"/>
      <c r="G107" s="130"/>
      <c r="H107" s="39">
        <f>H108+H111</f>
        <v>46124</v>
      </c>
      <c r="I107" s="39">
        <f>I108+I111</f>
        <v>36124</v>
      </c>
    </row>
    <row r="108" spans="1:9" s="24" customFormat="1" ht="57.75" customHeight="1">
      <c r="A108" s="241" t="s">
        <v>414</v>
      </c>
      <c r="B108" s="44" t="s">
        <v>89</v>
      </c>
      <c r="C108" s="19" t="s">
        <v>221</v>
      </c>
      <c r="D108" s="31" t="s">
        <v>206</v>
      </c>
      <c r="E108" s="23" t="s">
        <v>417</v>
      </c>
      <c r="F108" s="30"/>
      <c r="G108" s="130"/>
      <c r="H108" s="39">
        <f>H109</f>
        <v>18062</v>
      </c>
      <c r="I108" s="39">
        <f>I109</f>
        <v>18062</v>
      </c>
    </row>
    <row r="109" spans="1:9" s="24" customFormat="1" ht="26.25">
      <c r="A109" s="241" t="s">
        <v>415</v>
      </c>
      <c r="B109" s="44" t="s">
        <v>89</v>
      </c>
      <c r="C109" s="19" t="s">
        <v>221</v>
      </c>
      <c r="D109" s="31" t="s">
        <v>206</v>
      </c>
      <c r="E109" s="23" t="s">
        <v>418</v>
      </c>
      <c r="F109" s="30"/>
      <c r="G109" s="130"/>
      <c r="H109" s="39">
        <f>H110</f>
        <v>18062</v>
      </c>
      <c r="I109" s="39">
        <f>I110</f>
        <v>18062</v>
      </c>
    </row>
    <row r="110" spans="1:9" s="24" customFormat="1" ht="15.75">
      <c r="A110" s="308" t="s">
        <v>201</v>
      </c>
      <c r="B110" s="44" t="s">
        <v>89</v>
      </c>
      <c r="C110" s="19" t="s">
        <v>221</v>
      </c>
      <c r="D110" s="31" t="s">
        <v>206</v>
      </c>
      <c r="E110" s="23" t="s">
        <v>418</v>
      </c>
      <c r="F110" s="30"/>
      <c r="G110" s="130" t="s">
        <v>90</v>
      </c>
      <c r="H110" s="39">
        <f>15682+2380</f>
        <v>18062</v>
      </c>
      <c r="I110" s="39">
        <f>15682+2380</f>
        <v>18062</v>
      </c>
    </row>
    <row r="111" spans="1:9" s="24" customFormat="1" ht="42.75" customHeight="1">
      <c r="A111" s="241" t="s">
        <v>401</v>
      </c>
      <c r="B111" s="44" t="s">
        <v>89</v>
      </c>
      <c r="C111" s="19" t="s">
        <v>221</v>
      </c>
      <c r="D111" s="31" t="s">
        <v>206</v>
      </c>
      <c r="E111" s="23" t="s">
        <v>404</v>
      </c>
      <c r="F111" s="30"/>
      <c r="G111" s="130"/>
      <c r="H111" s="39">
        <f>H112</f>
        <v>28062</v>
      </c>
      <c r="I111" s="39">
        <f>I112</f>
        <v>18062</v>
      </c>
    </row>
    <row r="112" spans="1:9" s="24" customFormat="1" ht="26.25">
      <c r="A112" s="241" t="s">
        <v>402</v>
      </c>
      <c r="B112" s="44" t="s">
        <v>89</v>
      </c>
      <c r="C112" s="19" t="s">
        <v>221</v>
      </c>
      <c r="D112" s="31" t="s">
        <v>206</v>
      </c>
      <c r="E112" s="23" t="s">
        <v>406</v>
      </c>
      <c r="F112" s="30"/>
      <c r="G112" s="130"/>
      <c r="H112" s="39">
        <f>H113</f>
        <v>28062</v>
      </c>
      <c r="I112" s="39">
        <f>I113</f>
        <v>18062</v>
      </c>
    </row>
    <row r="113" spans="1:9" s="24" customFormat="1" ht="15.75">
      <c r="A113" s="308" t="s">
        <v>201</v>
      </c>
      <c r="B113" s="44" t="s">
        <v>89</v>
      </c>
      <c r="C113" s="19" t="s">
        <v>221</v>
      </c>
      <c r="D113" s="31" t="s">
        <v>206</v>
      </c>
      <c r="E113" s="23" t="s">
        <v>406</v>
      </c>
      <c r="F113" s="30"/>
      <c r="G113" s="130" t="s">
        <v>90</v>
      </c>
      <c r="H113" s="39">
        <f>15682+10000+2380</f>
        <v>28062</v>
      </c>
      <c r="I113" s="50">
        <f>15682+2380</f>
        <v>18062</v>
      </c>
    </row>
    <row r="114" spans="1:9" s="24" customFormat="1" ht="26.25">
      <c r="A114" s="36" t="s">
        <v>229</v>
      </c>
      <c r="B114" s="73" t="s">
        <v>89</v>
      </c>
      <c r="C114" s="74" t="s">
        <v>221</v>
      </c>
      <c r="D114" s="75" t="s">
        <v>206</v>
      </c>
      <c r="E114" s="23" t="s">
        <v>74</v>
      </c>
      <c r="F114" s="30"/>
      <c r="G114" s="130"/>
      <c r="H114" s="72">
        <f>H115</f>
        <v>4500</v>
      </c>
      <c r="I114" s="100"/>
    </row>
    <row r="115" spans="1:9" s="24" customFormat="1" ht="43.5" customHeight="1">
      <c r="A115" s="36" t="s">
        <v>230</v>
      </c>
      <c r="B115" s="73" t="s">
        <v>89</v>
      </c>
      <c r="C115" s="74" t="s">
        <v>221</v>
      </c>
      <c r="D115" s="75" t="s">
        <v>206</v>
      </c>
      <c r="E115" s="23" t="s">
        <v>231</v>
      </c>
      <c r="F115" s="30"/>
      <c r="G115" s="130"/>
      <c r="H115" s="72">
        <f>H116</f>
        <v>4500</v>
      </c>
      <c r="I115" s="100"/>
    </row>
    <row r="116" spans="1:9" s="24" customFormat="1" ht="57.75" customHeight="1">
      <c r="A116" s="36" t="s">
        <v>425</v>
      </c>
      <c r="B116" s="73" t="s">
        <v>89</v>
      </c>
      <c r="C116" s="74" t="s">
        <v>221</v>
      </c>
      <c r="D116" s="75" t="s">
        <v>206</v>
      </c>
      <c r="E116" s="23" t="s">
        <v>280</v>
      </c>
      <c r="F116" s="30"/>
      <c r="G116" s="130"/>
      <c r="H116" s="72">
        <f>H117</f>
        <v>4500</v>
      </c>
      <c r="I116" s="100"/>
    </row>
    <row r="117" spans="1:9" s="24" customFormat="1" ht="15.75">
      <c r="A117" s="36" t="s">
        <v>232</v>
      </c>
      <c r="B117" s="73" t="s">
        <v>89</v>
      </c>
      <c r="C117" s="74" t="s">
        <v>221</v>
      </c>
      <c r="D117" s="75" t="s">
        <v>206</v>
      </c>
      <c r="E117" s="23" t="s">
        <v>280</v>
      </c>
      <c r="F117" s="30"/>
      <c r="G117" s="130" t="s">
        <v>69</v>
      </c>
      <c r="H117" s="72">
        <v>4500</v>
      </c>
      <c r="I117" s="100"/>
    </row>
    <row r="118" spans="1:9" s="24" customFormat="1" ht="15.75">
      <c r="A118" s="26" t="s">
        <v>25</v>
      </c>
      <c r="B118" s="44" t="s">
        <v>89</v>
      </c>
      <c r="C118" s="19" t="s">
        <v>221</v>
      </c>
      <c r="D118" s="31" t="s">
        <v>206</v>
      </c>
      <c r="E118" s="19" t="s">
        <v>26</v>
      </c>
      <c r="F118" s="31"/>
      <c r="G118" s="88"/>
      <c r="H118" s="39">
        <f>H119</f>
        <v>82364.70000000001</v>
      </c>
      <c r="I118" s="50">
        <f>I119</f>
        <v>0</v>
      </c>
    </row>
    <row r="119" spans="1:9" s="24" customFormat="1" ht="15.75">
      <c r="A119" s="48" t="s">
        <v>222</v>
      </c>
      <c r="B119" s="44" t="s">
        <v>89</v>
      </c>
      <c r="C119" s="19" t="s">
        <v>221</v>
      </c>
      <c r="D119" s="31" t="s">
        <v>206</v>
      </c>
      <c r="E119" s="19" t="s">
        <v>223</v>
      </c>
      <c r="F119" s="31"/>
      <c r="G119" s="88"/>
      <c r="H119" s="39">
        <f>H120</f>
        <v>82364.70000000001</v>
      </c>
      <c r="I119" s="50">
        <f>I120</f>
        <v>0</v>
      </c>
    </row>
    <row r="120" spans="1:9" s="24" customFormat="1" ht="15.75">
      <c r="A120" s="71" t="s">
        <v>159</v>
      </c>
      <c r="B120" s="44" t="s">
        <v>89</v>
      </c>
      <c r="C120" s="19" t="s">
        <v>221</v>
      </c>
      <c r="D120" s="31" t="s">
        <v>206</v>
      </c>
      <c r="E120" s="19" t="s">
        <v>223</v>
      </c>
      <c r="F120" s="31"/>
      <c r="G120" s="88" t="s">
        <v>329</v>
      </c>
      <c r="H120" s="39">
        <f>5213+19686+21700+33500-5213-19686+1500+20+313.9+125+40+163.4+0.1+55.4+22+5-1.4+2.3+24899+20</f>
        <v>82364.70000000001</v>
      </c>
      <c r="I120" s="50"/>
    </row>
    <row r="121" spans="1:9" s="24" customFormat="1" ht="15.75">
      <c r="A121" s="26" t="s">
        <v>143</v>
      </c>
      <c r="B121" s="44" t="s">
        <v>89</v>
      </c>
      <c r="C121" s="19" t="s">
        <v>221</v>
      </c>
      <c r="D121" s="31" t="s">
        <v>206</v>
      </c>
      <c r="E121" s="19" t="s">
        <v>144</v>
      </c>
      <c r="F121" s="31"/>
      <c r="G121" s="88"/>
      <c r="H121" s="39">
        <f>H122+H124</f>
        <v>430</v>
      </c>
      <c r="I121" s="50"/>
    </row>
    <row r="122" spans="1:9" s="24" customFormat="1" ht="26.25">
      <c r="A122" s="113" t="s">
        <v>315</v>
      </c>
      <c r="B122" s="44" t="s">
        <v>89</v>
      </c>
      <c r="C122" s="19" t="s">
        <v>221</v>
      </c>
      <c r="D122" s="31" t="s">
        <v>206</v>
      </c>
      <c r="E122" s="19" t="s">
        <v>314</v>
      </c>
      <c r="F122" s="31"/>
      <c r="G122" s="88"/>
      <c r="H122" s="39">
        <f>H123</f>
        <v>0</v>
      </c>
      <c r="I122" s="50"/>
    </row>
    <row r="123" spans="1:9" s="24" customFormat="1" ht="15.75">
      <c r="A123" s="71" t="s">
        <v>159</v>
      </c>
      <c r="B123" s="44" t="s">
        <v>206</v>
      </c>
      <c r="C123" s="19" t="s">
        <v>221</v>
      </c>
      <c r="D123" s="31" t="s">
        <v>206</v>
      </c>
      <c r="E123" s="19" t="s">
        <v>314</v>
      </c>
      <c r="F123" s="31"/>
      <c r="G123" s="88" t="s">
        <v>329</v>
      </c>
      <c r="H123" s="39">
        <f>24899-24899</f>
        <v>0</v>
      </c>
      <c r="I123" s="50"/>
    </row>
    <row r="124" spans="1:9" s="24" customFormat="1" ht="30.75" customHeight="1">
      <c r="A124" s="113" t="s">
        <v>345</v>
      </c>
      <c r="B124" s="44" t="s">
        <v>89</v>
      </c>
      <c r="C124" s="19" t="s">
        <v>221</v>
      </c>
      <c r="D124" s="31" t="s">
        <v>206</v>
      </c>
      <c r="E124" s="19" t="s">
        <v>346</v>
      </c>
      <c r="F124" s="31"/>
      <c r="G124" s="88"/>
      <c r="H124" s="39">
        <f>H125</f>
        <v>430</v>
      </c>
      <c r="I124" s="50"/>
    </row>
    <row r="125" spans="1:9" s="24" customFormat="1" ht="15.75">
      <c r="A125" s="71" t="s">
        <v>159</v>
      </c>
      <c r="B125" s="44" t="s">
        <v>206</v>
      </c>
      <c r="C125" s="19" t="s">
        <v>221</v>
      </c>
      <c r="D125" s="31" t="s">
        <v>206</v>
      </c>
      <c r="E125" s="19" t="s">
        <v>346</v>
      </c>
      <c r="F125" s="31"/>
      <c r="G125" s="88" t="s">
        <v>329</v>
      </c>
      <c r="H125" s="39">
        <f>10430-5000-5000</f>
        <v>430</v>
      </c>
      <c r="I125" s="50"/>
    </row>
    <row r="126" spans="1:9" s="24" customFormat="1" ht="15.75">
      <c r="A126" s="118" t="s">
        <v>3</v>
      </c>
      <c r="B126" s="110" t="s">
        <v>89</v>
      </c>
      <c r="C126" s="107" t="s">
        <v>221</v>
      </c>
      <c r="D126" s="119" t="s">
        <v>207</v>
      </c>
      <c r="E126" s="107"/>
      <c r="F126" s="119"/>
      <c r="G126" s="131"/>
      <c r="H126" s="87">
        <f>H147+H127+H133+H152+H135+H139+H143</f>
        <v>225409</v>
      </c>
      <c r="I126" s="100">
        <f>I147</f>
        <v>0</v>
      </c>
    </row>
    <row r="127" spans="1:9" s="24" customFormat="1" ht="26.25">
      <c r="A127" s="36" t="s">
        <v>229</v>
      </c>
      <c r="B127" s="44" t="s">
        <v>89</v>
      </c>
      <c r="C127" s="23" t="s">
        <v>221</v>
      </c>
      <c r="D127" s="30" t="s">
        <v>207</v>
      </c>
      <c r="E127" s="23" t="s">
        <v>74</v>
      </c>
      <c r="F127" s="30"/>
      <c r="G127" s="130"/>
      <c r="H127" s="39">
        <f>H128</f>
        <v>0</v>
      </c>
      <c r="I127" s="50"/>
    </row>
    <row r="128" spans="1:9" s="24" customFormat="1" ht="43.5" customHeight="1">
      <c r="A128" s="36" t="s">
        <v>230</v>
      </c>
      <c r="B128" s="44" t="s">
        <v>89</v>
      </c>
      <c r="C128" s="23" t="s">
        <v>221</v>
      </c>
      <c r="D128" s="30" t="s">
        <v>207</v>
      </c>
      <c r="E128" s="23" t="s">
        <v>231</v>
      </c>
      <c r="F128" s="30"/>
      <c r="G128" s="130"/>
      <c r="H128" s="39">
        <f>H129</f>
        <v>0</v>
      </c>
      <c r="I128" s="50"/>
    </row>
    <row r="129" spans="1:9" s="24" customFormat="1" ht="39">
      <c r="A129" s="36" t="s">
        <v>426</v>
      </c>
      <c r="B129" s="44" t="s">
        <v>89</v>
      </c>
      <c r="C129" s="23" t="s">
        <v>221</v>
      </c>
      <c r="D129" s="30" t="s">
        <v>207</v>
      </c>
      <c r="E129" s="23" t="s">
        <v>280</v>
      </c>
      <c r="F129" s="30"/>
      <c r="G129" s="130"/>
      <c r="H129" s="39">
        <f>H130</f>
        <v>0</v>
      </c>
      <c r="I129" s="50"/>
    </row>
    <row r="130" spans="1:9" s="24" customFormat="1" ht="15.75">
      <c r="A130" s="36" t="s">
        <v>232</v>
      </c>
      <c r="B130" s="43" t="s">
        <v>89</v>
      </c>
      <c r="C130" s="23" t="s">
        <v>221</v>
      </c>
      <c r="D130" s="30" t="s">
        <v>207</v>
      </c>
      <c r="E130" s="23" t="s">
        <v>280</v>
      </c>
      <c r="F130" s="30"/>
      <c r="G130" s="130" t="s">
        <v>69</v>
      </c>
      <c r="H130" s="39">
        <f>20000-20000</f>
        <v>0</v>
      </c>
      <c r="I130" s="100"/>
    </row>
    <row r="131" spans="1:9" s="24" customFormat="1" ht="26.25">
      <c r="A131" s="36" t="s">
        <v>229</v>
      </c>
      <c r="B131" s="44" t="s">
        <v>89</v>
      </c>
      <c r="C131" s="23" t="s">
        <v>221</v>
      </c>
      <c r="D131" s="30" t="s">
        <v>207</v>
      </c>
      <c r="E131" s="23" t="s">
        <v>74</v>
      </c>
      <c r="F131" s="30"/>
      <c r="G131" s="130"/>
      <c r="H131" s="39">
        <f aca="true" t="shared" si="10" ref="H131:I133">H132</f>
        <v>0</v>
      </c>
      <c r="I131" s="50">
        <f t="shared" si="10"/>
        <v>0</v>
      </c>
    </row>
    <row r="132" spans="1:9" s="24" customFormat="1" ht="44.25" customHeight="1">
      <c r="A132" s="36" t="s">
        <v>230</v>
      </c>
      <c r="B132" s="44" t="s">
        <v>89</v>
      </c>
      <c r="C132" s="23" t="s">
        <v>221</v>
      </c>
      <c r="D132" s="30" t="s">
        <v>207</v>
      </c>
      <c r="E132" s="23" t="s">
        <v>231</v>
      </c>
      <c r="F132" s="30"/>
      <c r="G132" s="130"/>
      <c r="H132" s="39">
        <f t="shared" si="10"/>
        <v>0</v>
      </c>
      <c r="I132" s="50">
        <f t="shared" si="10"/>
        <v>0</v>
      </c>
    </row>
    <row r="133" spans="1:9" s="24" customFormat="1" ht="39">
      <c r="A133" s="36" t="s">
        <v>427</v>
      </c>
      <c r="B133" s="44" t="s">
        <v>89</v>
      </c>
      <c r="C133" s="23" t="s">
        <v>221</v>
      </c>
      <c r="D133" s="30" t="s">
        <v>207</v>
      </c>
      <c r="E133" s="23" t="s">
        <v>280</v>
      </c>
      <c r="F133" s="30"/>
      <c r="G133" s="130"/>
      <c r="H133" s="39">
        <f t="shared" si="10"/>
        <v>0</v>
      </c>
      <c r="I133" s="50">
        <f t="shared" si="10"/>
        <v>0</v>
      </c>
    </row>
    <row r="134" spans="1:9" s="24" customFormat="1" ht="15.75">
      <c r="A134" s="36" t="s">
        <v>232</v>
      </c>
      <c r="B134" s="43" t="s">
        <v>89</v>
      </c>
      <c r="C134" s="23" t="s">
        <v>221</v>
      </c>
      <c r="D134" s="30" t="s">
        <v>207</v>
      </c>
      <c r="E134" s="23" t="s">
        <v>280</v>
      </c>
      <c r="F134" s="30"/>
      <c r="G134" s="130" t="s">
        <v>69</v>
      </c>
      <c r="H134" s="39">
        <f>100000+5610-5610-100000+2388-2388</f>
        <v>0</v>
      </c>
      <c r="I134" s="100"/>
    </row>
    <row r="135" spans="1:9" s="24" customFormat="1" ht="26.25">
      <c r="A135" s="36" t="s">
        <v>229</v>
      </c>
      <c r="B135" s="44" t="s">
        <v>89</v>
      </c>
      <c r="C135" s="23" t="s">
        <v>221</v>
      </c>
      <c r="D135" s="30" t="s">
        <v>207</v>
      </c>
      <c r="E135" s="23" t="s">
        <v>74</v>
      </c>
      <c r="F135" s="30"/>
      <c r="G135" s="130"/>
      <c r="H135" s="39">
        <f>H136</f>
        <v>2000</v>
      </c>
      <c r="I135" s="100"/>
    </row>
    <row r="136" spans="1:9" s="24" customFormat="1" ht="43.5" customHeight="1">
      <c r="A136" s="36" t="s">
        <v>230</v>
      </c>
      <c r="B136" s="44" t="s">
        <v>89</v>
      </c>
      <c r="C136" s="23" t="s">
        <v>221</v>
      </c>
      <c r="D136" s="30" t="s">
        <v>207</v>
      </c>
      <c r="E136" s="23" t="s">
        <v>231</v>
      </c>
      <c r="F136" s="30"/>
      <c r="G136" s="130"/>
      <c r="H136" s="39">
        <f>H137</f>
        <v>2000</v>
      </c>
      <c r="I136" s="100"/>
    </row>
    <row r="137" spans="1:9" s="24" customFormat="1" ht="44.25" customHeight="1">
      <c r="A137" s="36" t="s">
        <v>396</v>
      </c>
      <c r="B137" s="44" t="s">
        <v>89</v>
      </c>
      <c r="C137" s="23" t="s">
        <v>221</v>
      </c>
      <c r="D137" s="30" t="s">
        <v>207</v>
      </c>
      <c r="E137" s="23" t="s">
        <v>280</v>
      </c>
      <c r="F137" s="30"/>
      <c r="G137" s="130"/>
      <c r="H137" s="39">
        <f>H138</f>
        <v>2000</v>
      </c>
      <c r="I137" s="100"/>
    </row>
    <row r="138" spans="1:9" s="24" customFormat="1" ht="15.75">
      <c r="A138" s="36" t="s">
        <v>232</v>
      </c>
      <c r="B138" s="43" t="s">
        <v>89</v>
      </c>
      <c r="C138" s="23" t="s">
        <v>221</v>
      </c>
      <c r="D138" s="30" t="s">
        <v>207</v>
      </c>
      <c r="E138" s="23" t="s">
        <v>280</v>
      </c>
      <c r="F138" s="30"/>
      <c r="G138" s="130" t="s">
        <v>69</v>
      </c>
      <c r="H138" s="39">
        <v>2000</v>
      </c>
      <c r="I138" s="100"/>
    </row>
    <row r="139" spans="1:9" s="24" customFormat="1" ht="26.25">
      <c r="A139" s="36" t="s">
        <v>229</v>
      </c>
      <c r="B139" s="43" t="s">
        <v>89</v>
      </c>
      <c r="C139" s="23" t="s">
        <v>221</v>
      </c>
      <c r="D139" s="30" t="s">
        <v>207</v>
      </c>
      <c r="E139" s="23" t="s">
        <v>74</v>
      </c>
      <c r="F139" s="30"/>
      <c r="G139" s="130"/>
      <c r="H139" s="39">
        <f>H140</f>
        <v>0</v>
      </c>
      <c r="I139" s="100"/>
    </row>
    <row r="140" spans="1:9" s="24" customFormat="1" ht="45.75" customHeight="1">
      <c r="A140" s="36" t="s">
        <v>230</v>
      </c>
      <c r="B140" s="43" t="s">
        <v>89</v>
      </c>
      <c r="C140" s="23" t="s">
        <v>221</v>
      </c>
      <c r="D140" s="30" t="s">
        <v>207</v>
      </c>
      <c r="E140" s="23" t="s">
        <v>231</v>
      </c>
      <c r="F140" s="30"/>
      <c r="G140" s="130"/>
      <c r="H140" s="39">
        <f>H141</f>
        <v>0</v>
      </c>
      <c r="I140" s="100"/>
    </row>
    <row r="141" spans="1:9" s="24" customFormat="1" ht="60.75" customHeight="1">
      <c r="A141" s="36" t="s">
        <v>392</v>
      </c>
      <c r="B141" s="43" t="s">
        <v>89</v>
      </c>
      <c r="C141" s="23" t="s">
        <v>221</v>
      </c>
      <c r="D141" s="30" t="s">
        <v>207</v>
      </c>
      <c r="E141" s="23" t="s">
        <v>280</v>
      </c>
      <c r="F141" s="30"/>
      <c r="G141" s="130"/>
      <c r="H141" s="39">
        <f>H142</f>
        <v>0</v>
      </c>
      <c r="I141" s="100"/>
    </row>
    <row r="142" spans="1:9" s="24" customFormat="1" ht="19.5" customHeight="1">
      <c r="A142" s="36" t="s">
        <v>232</v>
      </c>
      <c r="B142" s="43" t="s">
        <v>89</v>
      </c>
      <c r="C142" s="23" t="s">
        <v>221</v>
      </c>
      <c r="D142" s="30" t="s">
        <v>207</v>
      </c>
      <c r="E142" s="23" t="s">
        <v>280</v>
      </c>
      <c r="F142" s="30"/>
      <c r="G142" s="130" t="s">
        <v>69</v>
      </c>
      <c r="H142" s="39">
        <f>4561+15000-4561-15000</f>
        <v>0</v>
      </c>
      <c r="I142" s="100"/>
    </row>
    <row r="143" spans="1:9" s="24" customFormat="1" ht="24.75" customHeight="1">
      <c r="A143" s="36" t="s">
        <v>229</v>
      </c>
      <c r="B143" s="43" t="s">
        <v>89</v>
      </c>
      <c r="C143" s="23" t="s">
        <v>221</v>
      </c>
      <c r="D143" s="30" t="s">
        <v>207</v>
      </c>
      <c r="E143" s="23" t="s">
        <v>74</v>
      </c>
      <c r="F143" s="30"/>
      <c r="G143" s="130"/>
      <c r="H143" s="39">
        <f>H144</f>
        <v>0</v>
      </c>
      <c r="I143" s="100"/>
    </row>
    <row r="144" spans="1:9" s="24" customFormat="1" ht="39">
      <c r="A144" s="36" t="s">
        <v>230</v>
      </c>
      <c r="B144" s="43" t="s">
        <v>89</v>
      </c>
      <c r="C144" s="23" t="s">
        <v>221</v>
      </c>
      <c r="D144" s="30" t="s">
        <v>207</v>
      </c>
      <c r="E144" s="23" t="s">
        <v>231</v>
      </c>
      <c r="F144" s="30"/>
      <c r="G144" s="130"/>
      <c r="H144" s="39">
        <f>H145</f>
        <v>0</v>
      </c>
      <c r="I144" s="100"/>
    </row>
    <row r="145" spans="1:9" s="24" customFormat="1" ht="39">
      <c r="A145" s="36" t="s">
        <v>428</v>
      </c>
      <c r="B145" s="43" t="s">
        <v>89</v>
      </c>
      <c r="C145" s="23" t="s">
        <v>221</v>
      </c>
      <c r="D145" s="30" t="s">
        <v>207</v>
      </c>
      <c r="E145" s="23" t="s">
        <v>280</v>
      </c>
      <c r="F145" s="30"/>
      <c r="G145" s="130"/>
      <c r="H145" s="39">
        <f>H146</f>
        <v>0</v>
      </c>
      <c r="I145" s="100"/>
    </row>
    <row r="146" spans="1:9" s="24" customFormat="1" ht="15.75">
      <c r="A146" s="36" t="s">
        <v>232</v>
      </c>
      <c r="B146" s="43" t="s">
        <v>89</v>
      </c>
      <c r="C146" s="23" t="s">
        <v>221</v>
      </c>
      <c r="D146" s="30" t="s">
        <v>207</v>
      </c>
      <c r="E146" s="23" t="s">
        <v>280</v>
      </c>
      <c r="F146" s="30"/>
      <c r="G146" s="130" t="s">
        <v>69</v>
      </c>
      <c r="H146" s="39">
        <f>35000-35000</f>
        <v>0</v>
      </c>
      <c r="I146" s="100"/>
    </row>
    <row r="147" spans="1:9" s="24" customFormat="1" ht="15.75">
      <c r="A147" s="26" t="s">
        <v>56</v>
      </c>
      <c r="B147" s="44" t="s">
        <v>89</v>
      </c>
      <c r="C147" s="19" t="s">
        <v>221</v>
      </c>
      <c r="D147" s="31" t="s">
        <v>207</v>
      </c>
      <c r="E147" s="19" t="s">
        <v>78</v>
      </c>
      <c r="F147" s="31" t="s">
        <v>51</v>
      </c>
      <c r="G147" s="88"/>
      <c r="H147" s="39">
        <f>H148+H150</f>
        <v>33070</v>
      </c>
      <c r="I147" s="50">
        <f>I148+I150</f>
        <v>0</v>
      </c>
    </row>
    <row r="148" spans="1:9" s="24" customFormat="1" ht="15.75">
      <c r="A148" s="26" t="s">
        <v>226</v>
      </c>
      <c r="B148" s="44" t="s">
        <v>89</v>
      </c>
      <c r="C148" s="19" t="s">
        <v>221</v>
      </c>
      <c r="D148" s="31" t="s">
        <v>207</v>
      </c>
      <c r="E148" s="19" t="s">
        <v>227</v>
      </c>
      <c r="F148" s="31" t="s">
        <v>75</v>
      </c>
      <c r="G148" s="88"/>
      <c r="H148" s="39">
        <f>H149</f>
        <v>30570</v>
      </c>
      <c r="I148" s="50">
        <f>I149</f>
        <v>0</v>
      </c>
    </row>
    <row r="149" spans="1:9" ht="15.75">
      <c r="A149" s="26" t="s">
        <v>201</v>
      </c>
      <c r="B149" s="44" t="s">
        <v>89</v>
      </c>
      <c r="C149" s="19" t="s">
        <v>221</v>
      </c>
      <c r="D149" s="31" t="s">
        <v>207</v>
      </c>
      <c r="E149" s="19" t="s">
        <v>227</v>
      </c>
      <c r="F149" s="31"/>
      <c r="G149" s="88" t="s">
        <v>90</v>
      </c>
      <c r="H149" s="39">
        <v>30570</v>
      </c>
      <c r="I149" s="50"/>
    </row>
    <row r="150" spans="1:9" ht="15.75">
      <c r="A150" s="47" t="s">
        <v>373</v>
      </c>
      <c r="B150" s="44" t="s">
        <v>89</v>
      </c>
      <c r="C150" s="19" t="s">
        <v>221</v>
      </c>
      <c r="D150" s="31" t="s">
        <v>207</v>
      </c>
      <c r="E150" s="19" t="s">
        <v>375</v>
      </c>
      <c r="F150" s="31"/>
      <c r="G150" s="88"/>
      <c r="H150" s="39">
        <f>H151</f>
        <v>2500</v>
      </c>
      <c r="I150" s="50">
        <f>I151</f>
        <v>0</v>
      </c>
    </row>
    <row r="151" spans="1:9" ht="15.75">
      <c r="A151" s="27" t="s">
        <v>159</v>
      </c>
      <c r="B151" s="44" t="s">
        <v>89</v>
      </c>
      <c r="C151" s="19" t="s">
        <v>221</v>
      </c>
      <c r="D151" s="31" t="s">
        <v>207</v>
      </c>
      <c r="E151" s="19" t="s">
        <v>375</v>
      </c>
      <c r="F151" s="31" t="s">
        <v>329</v>
      </c>
      <c r="G151" s="88" t="s">
        <v>329</v>
      </c>
      <c r="H151" s="39">
        <f>2500</f>
        <v>2500</v>
      </c>
      <c r="I151" s="50"/>
    </row>
    <row r="152" spans="1:9" ht="15.75">
      <c r="A152" s="27" t="s">
        <v>143</v>
      </c>
      <c r="B152" s="44" t="s">
        <v>89</v>
      </c>
      <c r="C152" s="19" t="s">
        <v>221</v>
      </c>
      <c r="D152" s="31" t="s">
        <v>207</v>
      </c>
      <c r="E152" s="19" t="s">
        <v>144</v>
      </c>
      <c r="F152" s="31"/>
      <c r="G152" s="88"/>
      <c r="H152" s="39">
        <f>H155+H153</f>
        <v>190339</v>
      </c>
      <c r="I152" s="50"/>
    </row>
    <row r="153" spans="1:9" ht="26.25">
      <c r="A153" s="113" t="s">
        <v>312</v>
      </c>
      <c r="B153" s="44" t="s">
        <v>89</v>
      </c>
      <c r="C153" s="19" t="s">
        <v>221</v>
      </c>
      <c r="D153" s="31" t="s">
        <v>207</v>
      </c>
      <c r="E153" s="21" t="s">
        <v>313</v>
      </c>
      <c r="F153" s="7"/>
      <c r="G153" s="52"/>
      <c r="H153" s="39">
        <f>H154</f>
        <v>189559</v>
      </c>
      <c r="I153" s="50"/>
    </row>
    <row r="154" spans="1:9" ht="15.75">
      <c r="A154" s="28" t="s">
        <v>159</v>
      </c>
      <c r="B154" s="44" t="s">
        <v>89</v>
      </c>
      <c r="C154" s="19" t="s">
        <v>221</v>
      </c>
      <c r="D154" s="31" t="s">
        <v>207</v>
      </c>
      <c r="E154" s="21" t="s">
        <v>313</v>
      </c>
      <c r="F154" s="7"/>
      <c r="G154" s="52" t="s">
        <v>329</v>
      </c>
      <c r="H154" s="39">
        <f>47000-35000+174561+610+2388</f>
        <v>189559</v>
      </c>
      <c r="I154" s="50"/>
    </row>
    <row r="155" spans="1:9" ht="26.25">
      <c r="A155" s="47" t="s">
        <v>376</v>
      </c>
      <c r="B155" s="44" t="s">
        <v>89</v>
      </c>
      <c r="C155" s="19" t="s">
        <v>221</v>
      </c>
      <c r="D155" s="31" t="s">
        <v>207</v>
      </c>
      <c r="E155" s="19" t="s">
        <v>377</v>
      </c>
      <c r="F155" s="31"/>
      <c r="G155" s="88"/>
      <c r="H155" s="39">
        <f>H156</f>
        <v>780</v>
      </c>
      <c r="I155" s="50"/>
    </row>
    <row r="156" spans="1:9" ht="15.75">
      <c r="A156" s="27" t="s">
        <v>159</v>
      </c>
      <c r="B156" s="44" t="s">
        <v>89</v>
      </c>
      <c r="C156" s="19" t="s">
        <v>221</v>
      </c>
      <c r="D156" s="31" t="s">
        <v>207</v>
      </c>
      <c r="E156" s="19" t="s">
        <v>377</v>
      </c>
      <c r="F156" s="31" t="s">
        <v>329</v>
      </c>
      <c r="G156" s="88" t="s">
        <v>329</v>
      </c>
      <c r="H156" s="39">
        <v>780</v>
      </c>
      <c r="I156" s="50"/>
    </row>
    <row r="157" spans="1:9" ht="18.75" customHeight="1">
      <c r="A157" s="120" t="s">
        <v>146</v>
      </c>
      <c r="B157" s="110" t="s">
        <v>89</v>
      </c>
      <c r="C157" s="107" t="s">
        <v>221</v>
      </c>
      <c r="D157" s="119" t="s">
        <v>212</v>
      </c>
      <c r="E157" s="107"/>
      <c r="F157" s="119"/>
      <c r="G157" s="142"/>
      <c r="H157" s="87">
        <f>H158+H171+H168</f>
        <v>192704.69999999998</v>
      </c>
      <c r="I157" s="87">
        <f>I158+I171+I168</f>
        <v>5234.7</v>
      </c>
    </row>
    <row r="158" spans="1:9" ht="15.75">
      <c r="A158" s="26" t="s">
        <v>56</v>
      </c>
      <c r="B158" s="44" t="s">
        <v>89</v>
      </c>
      <c r="C158" s="19" t="s">
        <v>221</v>
      </c>
      <c r="D158" s="31" t="s">
        <v>212</v>
      </c>
      <c r="E158" s="21" t="s">
        <v>78</v>
      </c>
      <c r="F158" s="32"/>
      <c r="G158" s="90"/>
      <c r="H158" s="37">
        <f>H159</f>
        <v>157416.69999999998</v>
      </c>
      <c r="I158" s="61">
        <f>I159</f>
        <v>0</v>
      </c>
    </row>
    <row r="159" spans="1:9" s="24" customFormat="1" ht="15.75">
      <c r="A159" s="114" t="s">
        <v>241</v>
      </c>
      <c r="B159" s="44" t="s">
        <v>89</v>
      </c>
      <c r="C159" s="19" t="s">
        <v>221</v>
      </c>
      <c r="D159" s="31" t="s">
        <v>212</v>
      </c>
      <c r="E159" s="21" t="s">
        <v>238</v>
      </c>
      <c r="F159" s="7"/>
      <c r="G159" s="52"/>
      <c r="H159" s="39">
        <f>H160+H162+H164+H166</f>
        <v>157416.69999999998</v>
      </c>
      <c r="I159" s="50">
        <f>I160+I162+I164+I166</f>
        <v>0</v>
      </c>
    </row>
    <row r="160" spans="1:9" ht="15.75">
      <c r="A160" s="8" t="s">
        <v>237</v>
      </c>
      <c r="B160" s="44" t="s">
        <v>89</v>
      </c>
      <c r="C160" s="19" t="s">
        <v>221</v>
      </c>
      <c r="D160" s="31" t="s">
        <v>212</v>
      </c>
      <c r="E160" s="21" t="s">
        <v>239</v>
      </c>
      <c r="F160" s="7"/>
      <c r="G160" s="52"/>
      <c r="H160" s="39">
        <f>H161</f>
        <v>21731</v>
      </c>
      <c r="I160" s="50">
        <f>I161</f>
        <v>0</v>
      </c>
    </row>
    <row r="161" spans="1:9" ht="15.75">
      <c r="A161" s="26" t="s">
        <v>201</v>
      </c>
      <c r="B161" s="44" t="s">
        <v>89</v>
      </c>
      <c r="C161" s="19" t="s">
        <v>221</v>
      </c>
      <c r="D161" s="31" t="s">
        <v>212</v>
      </c>
      <c r="E161" s="21" t="s">
        <v>239</v>
      </c>
      <c r="F161" s="7"/>
      <c r="G161" s="52" t="s">
        <v>90</v>
      </c>
      <c r="H161" s="39">
        <f>13923+5000+2700+108</f>
        <v>21731</v>
      </c>
      <c r="I161" s="51"/>
    </row>
    <row r="162" spans="1:9" ht="15.75">
      <c r="A162" s="8" t="s">
        <v>149</v>
      </c>
      <c r="B162" s="44" t="s">
        <v>89</v>
      </c>
      <c r="C162" s="19" t="s">
        <v>221</v>
      </c>
      <c r="D162" s="31" t="s">
        <v>212</v>
      </c>
      <c r="E162" s="21" t="s">
        <v>240</v>
      </c>
      <c r="F162" s="7"/>
      <c r="G162" s="52"/>
      <c r="H162" s="39">
        <f>H163</f>
        <v>12620</v>
      </c>
      <c r="I162" s="50">
        <f>I163</f>
        <v>0</v>
      </c>
    </row>
    <row r="163" spans="1:9" ht="15.75">
      <c r="A163" s="26" t="s">
        <v>201</v>
      </c>
      <c r="B163" s="44" t="s">
        <v>89</v>
      </c>
      <c r="C163" s="19" t="s">
        <v>221</v>
      </c>
      <c r="D163" s="31" t="s">
        <v>212</v>
      </c>
      <c r="E163" s="21" t="s">
        <v>240</v>
      </c>
      <c r="F163" s="7"/>
      <c r="G163" s="52" t="s">
        <v>90</v>
      </c>
      <c r="H163" s="39">
        <f>11750+170+700</f>
        <v>12620</v>
      </c>
      <c r="I163" s="51"/>
    </row>
    <row r="164" spans="1:9" ht="15.75">
      <c r="A164" s="8" t="s">
        <v>243</v>
      </c>
      <c r="B164" s="44" t="s">
        <v>89</v>
      </c>
      <c r="C164" s="19" t="s">
        <v>221</v>
      </c>
      <c r="D164" s="31" t="s">
        <v>212</v>
      </c>
      <c r="E164" s="21" t="s">
        <v>242</v>
      </c>
      <c r="F164" s="7"/>
      <c r="G164" s="58"/>
      <c r="H164" s="39">
        <f>H165</f>
        <v>107356.69999999998</v>
      </c>
      <c r="I164" s="50">
        <f>I165</f>
        <v>0</v>
      </c>
    </row>
    <row r="165" spans="1:9" ht="15.75">
      <c r="A165" s="26" t="s">
        <v>201</v>
      </c>
      <c r="B165" s="44" t="s">
        <v>89</v>
      </c>
      <c r="C165" s="19" t="s">
        <v>221</v>
      </c>
      <c r="D165" s="31" t="s">
        <v>212</v>
      </c>
      <c r="E165" s="21" t="s">
        <v>242</v>
      </c>
      <c r="F165" s="7"/>
      <c r="G165" s="52" t="s">
        <v>90</v>
      </c>
      <c r="H165" s="39">
        <f>21788+8400+50000+25000+2000+1500+1500+1480+500-4947-10-400+580-112-50-30-243+200-125-193.8+80-700-15-250-500-373.9-272-395-102.2-190-610-507.3+4600-0.1-498-138-700+500+200+1125+150-200-49.6-300-72-5-108-94.6+205.2-240-20</f>
        <v>107356.69999999998</v>
      </c>
      <c r="I165" s="51"/>
    </row>
    <row r="166" spans="1:9" ht="15.75">
      <c r="A166" s="8" t="s">
        <v>157</v>
      </c>
      <c r="B166" s="44" t="s">
        <v>89</v>
      </c>
      <c r="C166" s="19" t="s">
        <v>221</v>
      </c>
      <c r="D166" s="31" t="s">
        <v>212</v>
      </c>
      <c r="E166" s="21" t="s">
        <v>244</v>
      </c>
      <c r="F166" s="7"/>
      <c r="G166" s="58"/>
      <c r="H166" s="39">
        <f>H167</f>
        <v>15709</v>
      </c>
      <c r="I166" s="50">
        <f>I167</f>
        <v>0</v>
      </c>
    </row>
    <row r="167" spans="1:9" ht="15.75">
      <c r="A167" s="27" t="s">
        <v>201</v>
      </c>
      <c r="B167" s="44" t="s">
        <v>89</v>
      </c>
      <c r="C167" s="19" t="s">
        <v>221</v>
      </c>
      <c r="D167" s="31" t="s">
        <v>212</v>
      </c>
      <c r="E167" s="21" t="s">
        <v>244</v>
      </c>
      <c r="F167" s="7"/>
      <c r="G167" s="52" t="s">
        <v>90</v>
      </c>
      <c r="H167" s="39">
        <v>15709</v>
      </c>
      <c r="I167" s="51"/>
    </row>
    <row r="168" spans="1:9" ht="15.75">
      <c r="A168" s="93" t="s">
        <v>146</v>
      </c>
      <c r="B168" s="44" t="s">
        <v>89</v>
      </c>
      <c r="C168" s="19" t="s">
        <v>221</v>
      </c>
      <c r="D168" s="31" t="s">
        <v>212</v>
      </c>
      <c r="E168" s="21" t="s">
        <v>378</v>
      </c>
      <c r="F168" s="7"/>
      <c r="G168" s="52"/>
      <c r="H168" s="39">
        <f>H169</f>
        <v>27788</v>
      </c>
      <c r="I168" s="39">
        <f>I169</f>
        <v>5234.7</v>
      </c>
    </row>
    <row r="169" spans="1:9" ht="39">
      <c r="A169" s="151" t="s">
        <v>379</v>
      </c>
      <c r="B169" s="44" t="s">
        <v>89</v>
      </c>
      <c r="C169" s="19" t="s">
        <v>221</v>
      </c>
      <c r="D169" s="31" t="s">
        <v>212</v>
      </c>
      <c r="E169" s="21" t="s">
        <v>380</v>
      </c>
      <c r="F169" s="7"/>
      <c r="G169" s="52"/>
      <c r="H169" s="39">
        <f>H170</f>
        <v>27788</v>
      </c>
      <c r="I169" s="39">
        <f>I170</f>
        <v>5234.7</v>
      </c>
    </row>
    <row r="170" spans="1:9" ht="15.75">
      <c r="A170" s="93" t="s">
        <v>159</v>
      </c>
      <c r="B170" s="44" t="s">
        <v>89</v>
      </c>
      <c r="C170" s="19" t="s">
        <v>221</v>
      </c>
      <c r="D170" s="31" t="s">
        <v>212</v>
      </c>
      <c r="E170" s="21" t="s">
        <v>380</v>
      </c>
      <c r="F170" s="7"/>
      <c r="G170" s="52" t="s">
        <v>329</v>
      </c>
      <c r="H170" s="39">
        <f>15000+50+280+8000+498+400+100+2700+250+200+310</f>
        <v>27788</v>
      </c>
      <c r="I170" s="51">
        <v>5234.7</v>
      </c>
    </row>
    <row r="171" spans="1:9" ht="15.75">
      <c r="A171" s="8" t="s">
        <v>143</v>
      </c>
      <c r="B171" s="44" t="s">
        <v>89</v>
      </c>
      <c r="C171" s="19" t="s">
        <v>221</v>
      </c>
      <c r="D171" s="31" t="s">
        <v>212</v>
      </c>
      <c r="E171" s="21" t="s">
        <v>144</v>
      </c>
      <c r="F171" s="7"/>
      <c r="G171" s="52"/>
      <c r="H171" s="39">
        <f>H172</f>
        <v>7500</v>
      </c>
      <c r="I171" s="51"/>
    </row>
    <row r="172" spans="1:9" ht="39">
      <c r="A172" s="113" t="s">
        <v>347</v>
      </c>
      <c r="B172" s="44" t="s">
        <v>89</v>
      </c>
      <c r="C172" s="19" t="s">
        <v>221</v>
      </c>
      <c r="D172" s="31" t="s">
        <v>212</v>
      </c>
      <c r="E172" s="21" t="s">
        <v>348</v>
      </c>
      <c r="F172" s="7"/>
      <c r="G172" s="52"/>
      <c r="H172" s="39">
        <f>H173</f>
        <v>7500</v>
      </c>
      <c r="I172" s="51"/>
    </row>
    <row r="173" spans="1:9" ht="15.75">
      <c r="A173" s="28" t="s">
        <v>159</v>
      </c>
      <c r="B173" s="44" t="s">
        <v>89</v>
      </c>
      <c r="C173" s="19" t="s">
        <v>221</v>
      </c>
      <c r="D173" s="31" t="s">
        <v>212</v>
      </c>
      <c r="E173" s="21" t="s">
        <v>348</v>
      </c>
      <c r="F173" s="7"/>
      <c r="G173" s="52" t="s">
        <v>329</v>
      </c>
      <c r="H173" s="39">
        <f>2500+5000</f>
        <v>7500</v>
      </c>
      <c r="I173" s="51"/>
    </row>
    <row r="174" spans="1:9" ht="15.75">
      <c r="A174" s="246" t="s">
        <v>45</v>
      </c>
      <c r="B174" s="111" t="s">
        <v>89</v>
      </c>
      <c r="C174" s="106" t="s">
        <v>228</v>
      </c>
      <c r="D174" s="119" t="s">
        <v>133</v>
      </c>
      <c r="E174" s="107"/>
      <c r="F174" s="105"/>
      <c r="G174" s="98"/>
      <c r="H174" s="87">
        <f aca="true" t="shared" si="11" ref="H174:I176">H175</f>
        <v>3675</v>
      </c>
      <c r="I174" s="100">
        <f t="shared" si="11"/>
        <v>0</v>
      </c>
    </row>
    <row r="175" spans="1:9" ht="15.75">
      <c r="A175" s="28" t="s">
        <v>46</v>
      </c>
      <c r="B175" s="43" t="s">
        <v>89</v>
      </c>
      <c r="C175" s="23" t="s">
        <v>228</v>
      </c>
      <c r="D175" s="30" t="s">
        <v>221</v>
      </c>
      <c r="E175" s="23"/>
      <c r="F175" s="30"/>
      <c r="G175" s="97"/>
      <c r="H175" s="38">
        <f t="shared" si="11"/>
        <v>3675</v>
      </c>
      <c r="I175" s="86">
        <f t="shared" si="11"/>
        <v>0</v>
      </c>
    </row>
    <row r="176" spans="1:9" ht="15.75">
      <c r="A176" s="8" t="s">
        <v>143</v>
      </c>
      <c r="B176" s="44" t="s">
        <v>89</v>
      </c>
      <c r="C176" s="19" t="s">
        <v>228</v>
      </c>
      <c r="D176" s="31" t="s">
        <v>221</v>
      </c>
      <c r="E176" s="19" t="s">
        <v>144</v>
      </c>
      <c r="F176" s="31"/>
      <c r="G176" s="88"/>
      <c r="H176" s="38">
        <f t="shared" si="11"/>
        <v>3675</v>
      </c>
      <c r="I176" s="86">
        <f t="shared" si="11"/>
        <v>0</v>
      </c>
    </row>
    <row r="177" spans="1:9" ht="30.75" customHeight="1">
      <c r="A177" s="113" t="s">
        <v>308</v>
      </c>
      <c r="B177" s="45" t="s">
        <v>89</v>
      </c>
      <c r="C177" s="21" t="s">
        <v>228</v>
      </c>
      <c r="D177" s="32" t="s">
        <v>221</v>
      </c>
      <c r="E177" s="21" t="s">
        <v>309</v>
      </c>
      <c r="F177" s="32"/>
      <c r="G177" s="90"/>
      <c r="H177" s="37">
        <f>H178</f>
        <v>3675</v>
      </c>
      <c r="I177" s="61">
        <f>I178</f>
        <v>0</v>
      </c>
    </row>
    <row r="178" spans="1:9" ht="15.75">
      <c r="A178" s="28" t="s">
        <v>159</v>
      </c>
      <c r="B178" s="45" t="s">
        <v>89</v>
      </c>
      <c r="C178" s="21" t="s">
        <v>228</v>
      </c>
      <c r="D178" s="32" t="s">
        <v>221</v>
      </c>
      <c r="E178" s="21" t="s">
        <v>309</v>
      </c>
      <c r="F178" s="32"/>
      <c r="G178" s="52" t="s">
        <v>329</v>
      </c>
      <c r="H178" s="37">
        <f>2835+1020+2000-50-50-2080</f>
        <v>3675</v>
      </c>
      <c r="I178" s="54"/>
    </row>
    <row r="179" spans="1:9" ht="21.75" customHeight="1">
      <c r="A179" s="125" t="s">
        <v>6</v>
      </c>
      <c r="B179" s="110" t="s">
        <v>89</v>
      </c>
      <c r="C179" s="107" t="s">
        <v>215</v>
      </c>
      <c r="D179" s="119" t="s">
        <v>133</v>
      </c>
      <c r="E179" s="107"/>
      <c r="F179" s="105" t="s">
        <v>51</v>
      </c>
      <c r="G179" s="98"/>
      <c r="H179" s="87">
        <f>H180+H200</f>
        <v>30472</v>
      </c>
      <c r="I179" s="100">
        <f>I180+I200</f>
        <v>0</v>
      </c>
    </row>
    <row r="180" spans="1:9" ht="15.75">
      <c r="A180" s="118" t="s">
        <v>7</v>
      </c>
      <c r="B180" s="110" t="s">
        <v>89</v>
      </c>
      <c r="C180" s="18" t="s">
        <v>215</v>
      </c>
      <c r="D180" s="33" t="s">
        <v>206</v>
      </c>
      <c r="E180" s="18"/>
      <c r="F180" s="33"/>
      <c r="G180" s="129"/>
      <c r="H180" s="91">
        <f>H181+H185+H197+H189+H193</f>
        <v>28142</v>
      </c>
      <c r="I180" s="91">
        <f>I181+I185+I197+I189+I193</f>
        <v>0</v>
      </c>
    </row>
    <row r="181" spans="1:9" ht="26.25">
      <c r="A181" s="36" t="s">
        <v>229</v>
      </c>
      <c r="B181" s="44" t="s">
        <v>89</v>
      </c>
      <c r="C181" s="23" t="s">
        <v>215</v>
      </c>
      <c r="D181" s="30" t="s">
        <v>206</v>
      </c>
      <c r="E181" s="23" t="s">
        <v>74</v>
      </c>
      <c r="F181" s="30"/>
      <c r="G181" s="130"/>
      <c r="H181" s="38">
        <f aca="true" t="shared" si="12" ref="H181:I183">H182</f>
        <v>1142</v>
      </c>
      <c r="I181" s="86">
        <f t="shared" si="12"/>
        <v>0</v>
      </c>
    </row>
    <row r="182" spans="1:9" s="24" customFormat="1" ht="43.5" customHeight="1">
      <c r="A182" s="36" t="s">
        <v>230</v>
      </c>
      <c r="B182" s="44" t="s">
        <v>89</v>
      </c>
      <c r="C182" s="23" t="s">
        <v>215</v>
      </c>
      <c r="D182" s="30" t="s">
        <v>206</v>
      </c>
      <c r="E182" s="23" t="s">
        <v>231</v>
      </c>
      <c r="F182" s="30"/>
      <c r="G182" s="130"/>
      <c r="H182" s="38">
        <f t="shared" si="12"/>
        <v>1142</v>
      </c>
      <c r="I182" s="86">
        <f t="shared" si="12"/>
        <v>0</v>
      </c>
    </row>
    <row r="183" spans="1:9" ht="54.75" customHeight="1">
      <c r="A183" s="36" t="s">
        <v>429</v>
      </c>
      <c r="B183" s="44" t="s">
        <v>89</v>
      </c>
      <c r="C183" s="23" t="s">
        <v>215</v>
      </c>
      <c r="D183" s="30" t="s">
        <v>206</v>
      </c>
      <c r="E183" s="23" t="s">
        <v>280</v>
      </c>
      <c r="F183" s="30"/>
      <c r="G183" s="130"/>
      <c r="H183" s="38">
        <f t="shared" si="12"/>
        <v>1142</v>
      </c>
      <c r="I183" s="86">
        <f t="shared" si="12"/>
        <v>0</v>
      </c>
    </row>
    <row r="184" spans="1:9" ht="15.75">
      <c r="A184" s="36" t="s">
        <v>232</v>
      </c>
      <c r="B184" s="43" t="s">
        <v>89</v>
      </c>
      <c r="C184" s="23" t="s">
        <v>215</v>
      </c>
      <c r="D184" s="30" t="s">
        <v>206</v>
      </c>
      <c r="E184" s="23" t="s">
        <v>280</v>
      </c>
      <c r="F184" s="30"/>
      <c r="G184" s="130" t="s">
        <v>69</v>
      </c>
      <c r="H184" s="38">
        <f>50000-50000+1142</f>
        <v>1142</v>
      </c>
      <c r="I184" s="102"/>
    </row>
    <row r="185" spans="1:9" ht="33.75" customHeight="1">
      <c r="A185" s="36" t="s">
        <v>229</v>
      </c>
      <c r="B185" s="44" t="s">
        <v>89</v>
      </c>
      <c r="C185" s="23" t="s">
        <v>215</v>
      </c>
      <c r="D185" s="30" t="s">
        <v>206</v>
      </c>
      <c r="E185" s="23" t="s">
        <v>74</v>
      </c>
      <c r="F185" s="30"/>
      <c r="G185" s="130"/>
      <c r="H185" s="38">
        <f aca="true" t="shared" si="13" ref="H185:I187">H186</f>
        <v>0</v>
      </c>
      <c r="I185" s="86">
        <f t="shared" si="13"/>
        <v>0</v>
      </c>
    </row>
    <row r="186" spans="1:9" ht="42.75" customHeight="1">
      <c r="A186" s="36" t="s">
        <v>230</v>
      </c>
      <c r="B186" s="44" t="s">
        <v>89</v>
      </c>
      <c r="C186" s="23" t="s">
        <v>215</v>
      </c>
      <c r="D186" s="30" t="s">
        <v>206</v>
      </c>
      <c r="E186" s="23" t="s">
        <v>231</v>
      </c>
      <c r="F186" s="30"/>
      <c r="G186" s="130"/>
      <c r="H186" s="38">
        <f t="shared" si="13"/>
        <v>0</v>
      </c>
      <c r="I186" s="86">
        <f t="shared" si="13"/>
        <v>0</v>
      </c>
    </row>
    <row r="187" spans="1:9" ht="51.75">
      <c r="A187" s="36" t="s">
        <v>430</v>
      </c>
      <c r="B187" s="44" t="s">
        <v>89</v>
      </c>
      <c r="C187" s="23" t="s">
        <v>215</v>
      </c>
      <c r="D187" s="30" t="s">
        <v>206</v>
      </c>
      <c r="E187" s="23" t="s">
        <v>280</v>
      </c>
      <c r="F187" s="30"/>
      <c r="G187" s="130"/>
      <c r="H187" s="38">
        <f t="shared" si="13"/>
        <v>0</v>
      </c>
      <c r="I187" s="86">
        <f t="shared" si="13"/>
        <v>0</v>
      </c>
    </row>
    <row r="188" spans="1:9" ht="15.75">
      <c r="A188" s="36" t="s">
        <v>232</v>
      </c>
      <c r="B188" s="43" t="s">
        <v>89</v>
      </c>
      <c r="C188" s="23" t="s">
        <v>215</v>
      </c>
      <c r="D188" s="30" t="s">
        <v>206</v>
      </c>
      <c r="E188" s="23" t="s">
        <v>280</v>
      </c>
      <c r="F188" s="30"/>
      <c r="G188" s="130" t="s">
        <v>69</v>
      </c>
      <c r="H188" s="38">
        <f>125000-15000-110000</f>
        <v>0</v>
      </c>
      <c r="I188" s="102"/>
    </row>
    <row r="189" spans="1:9" ht="26.25">
      <c r="A189" s="36" t="s">
        <v>229</v>
      </c>
      <c r="B189" s="44" t="s">
        <v>89</v>
      </c>
      <c r="C189" s="23" t="s">
        <v>215</v>
      </c>
      <c r="D189" s="30" t="s">
        <v>206</v>
      </c>
      <c r="E189" s="23" t="s">
        <v>74</v>
      </c>
      <c r="F189" s="30"/>
      <c r="G189" s="52"/>
      <c r="H189" s="39">
        <f aca="true" t="shared" si="14" ref="H189:I191">H190</f>
        <v>0</v>
      </c>
      <c r="I189" s="50">
        <f t="shared" si="14"/>
        <v>0</v>
      </c>
    </row>
    <row r="190" spans="1:9" ht="26.25">
      <c r="A190" s="36" t="s">
        <v>326</v>
      </c>
      <c r="B190" s="44" t="s">
        <v>89</v>
      </c>
      <c r="C190" s="23" t="s">
        <v>215</v>
      </c>
      <c r="D190" s="30" t="s">
        <v>206</v>
      </c>
      <c r="E190" s="23" t="s">
        <v>231</v>
      </c>
      <c r="F190" s="30"/>
      <c r="G190" s="52"/>
      <c r="H190" s="39">
        <f t="shared" si="14"/>
        <v>0</v>
      </c>
      <c r="I190" s="50">
        <f t="shared" si="14"/>
        <v>0</v>
      </c>
    </row>
    <row r="191" spans="1:9" ht="26.25">
      <c r="A191" s="36" t="s">
        <v>279</v>
      </c>
      <c r="B191" s="44" t="s">
        <v>89</v>
      </c>
      <c r="C191" s="23" t="s">
        <v>215</v>
      </c>
      <c r="D191" s="30" t="s">
        <v>206</v>
      </c>
      <c r="E191" s="23" t="s">
        <v>280</v>
      </c>
      <c r="F191" s="30"/>
      <c r="G191" s="52"/>
      <c r="H191" s="39">
        <f t="shared" si="14"/>
        <v>0</v>
      </c>
      <c r="I191" s="50">
        <f t="shared" si="14"/>
        <v>0</v>
      </c>
    </row>
    <row r="192" spans="1:9" ht="15.75">
      <c r="A192" s="36" t="s">
        <v>232</v>
      </c>
      <c r="B192" s="43" t="s">
        <v>89</v>
      </c>
      <c r="C192" s="23" t="s">
        <v>215</v>
      </c>
      <c r="D192" s="30" t="s">
        <v>206</v>
      </c>
      <c r="E192" s="23" t="s">
        <v>280</v>
      </c>
      <c r="F192" s="30"/>
      <c r="G192" s="52" t="s">
        <v>69</v>
      </c>
      <c r="H192" s="39"/>
      <c r="I192" s="50">
        <f>150000-150000</f>
        <v>0</v>
      </c>
    </row>
    <row r="193" spans="1:9" ht="26.25">
      <c r="A193" s="36" t="s">
        <v>229</v>
      </c>
      <c r="B193" s="43" t="s">
        <v>89</v>
      </c>
      <c r="C193" s="23" t="s">
        <v>215</v>
      </c>
      <c r="D193" s="30" t="s">
        <v>206</v>
      </c>
      <c r="E193" s="23" t="s">
        <v>74</v>
      </c>
      <c r="F193" s="30"/>
      <c r="G193" s="117"/>
      <c r="H193" s="39">
        <f aca="true" t="shared" si="15" ref="H193:I195">H194</f>
        <v>100</v>
      </c>
      <c r="I193" s="50">
        <f t="shared" si="15"/>
        <v>0</v>
      </c>
    </row>
    <row r="194" spans="1:9" ht="26.25">
      <c r="A194" s="36" t="s">
        <v>326</v>
      </c>
      <c r="B194" s="43" t="s">
        <v>89</v>
      </c>
      <c r="C194" s="23" t="s">
        <v>215</v>
      </c>
      <c r="D194" s="30" t="s">
        <v>206</v>
      </c>
      <c r="E194" s="23" t="s">
        <v>231</v>
      </c>
      <c r="F194" s="30"/>
      <c r="G194" s="117"/>
      <c r="H194" s="39">
        <f t="shared" si="15"/>
        <v>100</v>
      </c>
      <c r="I194" s="50">
        <f t="shared" si="15"/>
        <v>0</v>
      </c>
    </row>
    <row r="195" spans="1:9" ht="72" customHeight="1">
      <c r="A195" s="36" t="s">
        <v>410</v>
      </c>
      <c r="B195" s="44" t="s">
        <v>89</v>
      </c>
      <c r="C195" s="23" t="s">
        <v>215</v>
      </c>
      <c r="D195" s="30" t="s">
        <v>206</v>
      </c>
      <c r="E195" s="23" t="s">
        <v>280</v>
      </c>
      <c r="F195" s="30"/>
      <c r="G195" s="117"/>
      <c r="H195" s="39">
        <f t="shared" si="15"/>
        <v>100</v>
      </c>
      <c r="I195" s="50">
        <f t="shared" si="15"/>
        <v>0</v>
      </c>
    </row>
    <row r="196" spans="1:9" ht="23.25" customHeight="1">
      <c r="A196" s="36" t="s">
        <v>232</v>
      </c>
      <c r="B196" s="43" t="s">
        <v>89</v>
      </c>
      <c r="C196" s="23" t="s">
        <v>215</v>
      </c>
      <c r="D196" s="30" t="s">
        <v>206</v>
      </c>
      <c r="E196" s="23" t="s">
        <v>280</v>
      </c>
      <c r="F196" s="30" t="s">
        <v>69</v>
      </c>
      <c r="G196" s="117" t="s">
        <v>69</v>
      </c>
      <c r="H196" s="39">
        <v>100</v>
      </c>
      <c r="I196" s="50">
        <f>150000-150000</f>
        <v>0</v>
      </c>
    </row>
    <row r="197" spans="1:9" ht="21" customHeight="1">
      <c r="A197" s="26" t="s">
        <v>8</v>
      </c>
      <c r="B197" s="44" t="s">
        <v>89</v>
      </c>
      <c r="C197" s="19" t="s">
        <v>215</v>
      </c>
      <c r="D197" s="31" t="s">
        <v>206</v>
      </c>
      <c r="E197" s="19" t="s">
        <v>27</v>
      </c>
      <c r="F197" s="31"/>
      <c r="G197" s="88"/>
      <c r="H197" s="39">
        <f>H198</f>
        <v>26900</v>
      </c>
      <c r="I197" s="267"/>
    </row>
    <row r="198" spans="1:9" ht="15.75">
      <c r="A198" s="27" t="s">
        <v>28</v>
      </c>
      <c r="B198" s="44" t="s">
        <v>89</v>
      </c>
      <c r="C198" s="19" t="s">
        <v>215</v>
      </c>
      <c r="D198" s="31" t="s">
        <v>206</v>
      </c>
      <c r="E198" s="19" t="s">
        <v>233</v>
      </c>
      <c r="F198" s="31"/>
      <c r="G198" s="58"/>
      <c r="H198" s="39">
        <f>H199</f>
        <v>26900</v>
      </c>
      <c r="I198" s="267"/>
    </row>
    <row r="199" spans="1:9" ht="15.75">
      <c r="A199" s="27" t="s">
        <v>189</v>
      </c>
      <c r="B199" s="45" t="s">
        <v>89</v>
      </c>
      <c r="C199" s="21" t="s">
        <v>215</v>
      </c>
      <c r="D199" s="32" t="s">
        <v>206</v>
      </c>
      <c r="E199" s="19" t="s">
        <v>233</v>
      </c>
      <c r="F199" s="31"/>
      <c r="G199" s="130" t="s">
        <v>89</v>
      </c>
      <c r="H199" s="39">
        <f>17000+11900-2000</f>
        <v>26900</v>
      </c>
      <c r="I199" s="267"/>
    </row>
    <row r="200" spans="1:9" ht="15.75">
      <c r="A200" s="26" t="s">
        <v>9</v>
      </c>
      <c r="B200" s="44" t="s">
        <v>89</v>
      </c>
      <c r="C200" s="19" t="s">
        <v>215</v>
      </c>
      <c r="D200" s="31" t="s">
        <v>207</v>
      </c>
      <c r="E200" s="19"/>
      <c r="F200" s="31"/>
      <c r="G200" s="52"/>
      <c r="H200" s="39">
        <f>H205+H201</f>
        <v>2330</v>
      </c>
      <c r="I200" s="267"/>
    </row>
    <row r="201" spans="1:9" ht="26.25">
      <c r="A201" s="36" t="s">
        <v>229</v>
      </c>
      <c r="B201" s="16" t="s">
        <v>89</v>
      </c>
      <c r="C201" s="15" t="s">
        <v>215</v>
      </c>
      <c r="D201" s="10" t="s">
        <v>207</v>
      </c>
      <c r="E201" s="23" t="s">
        <v>74</v>
      </c>
      <c r="F201" s="30"/>
      <c r="G201" s="130"/>
      <c r="H201" s="38">
        <f>H202</f>
        <v>330</v>
      </c>
      <c r="I201" s="102"/>
    </row>
    <row r="202" spans="1:9" ht="42.75" customHeight="1">
      <c r="A202" s="36" t="s">
        <v>438</v>
      </c>
      <c r="B202" s="45" t="s">
        <v>89</v>
      </c>
      <c r="C202" s="21" t="s">
        <v>215</v>
      </c>
      <c r="D202" s="32" t="s">
        <v>207</v>
      </c>
      <c r="E202" s="23" t="s">
        <v>231</v>
      </c>
      <c r="F202" s="30"/>
      <c r="G202" s="117"/>
      <c r="H202" s="39">
        <f>H203</f>
        <v>330</v>
      </c>
      <c r="I202" s="267"/>
    </row>
    <row r="203" spans="1:9" ht="48.75" customHeight="1">
      <c r="A203" s="36" t="s">
        <v>412</v>
      </c>
      <c r="B203" s="45" t="s">
        <v>89</v>
      </c>
      <c r="C203" s="21" t="s">
        <v>215</v>
      </c>
      <c r="D203" s="32" t="s">
        <v>207</v>
      </c>
      <c r="E203" s="23" t="s">
        <v>280</v>
      </c>
      <c r="F203" s="30"/>
      <c r="G203" s="117"/>
      <c r="H203" s="39">
        <f>H204</f>
        <v>330</v>
      </c>
      <c r="I203" s="267"/>
    </row>
    <row r="204" spans="1:9" ht="15.75">
      <c r="A204" s="36" t="s">
        <v>232</v>
      </c>
      <c r="B204" s="45" t="s">
        <v>89</v>
      </c>
      <c r="C204" s="21" t="s">
        <v>215</v>
      </c>
      <c r="D204" s="32" t="s">
        <v>207</v>
      </c>
      <c r="E204" s="23" t="s">
        <v>280</v>
      </c>
      <c r="F204" s="30" t="s">
        <v>69</v>
      </c>
      <c r="G204" s="117" t="s">
        <v>69</v>
      </c>
      <c r="H204" s="39">
        <v>330</v>
      </c>
      <c r="I204" s="267"/>
    </row>
    <row r="205" spans="1:9" ht="15.75">
      <c r="A205" s="27" t="s">
        <v>32</v>
      </c>
      <c r="B205" s="45" t="s">
        <v>89</v>
      </c>
      <c r="C205" s="21" t="s">
        <v>215</v>
      </c>
      <c r="D205" s="32" t="s">
        <v>207</v>
      </c>
      <c r="E205" s="19" t="s">
        <v>33</v>
      </c>
      <c r="F205" s="31"/>
      <c r="G205" s="52"/>
      <c r="H205" s="39">
        <f>H206</f>
        <v>2000</v>
      </c>
      <c r="I205" s="267"/>
    </row>
    <row r="206" spans="1:9" ht="15.75">
      <c r="A206" s="27" t="s">
        <v>28</v>
      </c>
      <c r="B206" s="45" t="s">
        <v>89</v>
      </c>
      <c r="C206" s="21" t="s">
        <v>215</v>
      </c>
      <c r="D206" s="32" t="s">
        <v>207</v>
      </c>
      <c r="E206" s="19" t="s">
        <v>235</v>
      </c>
      <c r="F206" s="31"/>
      <c r="G206" s="52"/>
      <c r="H206" s="39">
        <f>H207</f>
        <v>2000</v>
      </c>
      <c r="I206" s="267"/>
    </row>
    <row r="207" spans="1:9" ht="15.75">
      <c r="A207" s="27" t="s">
        <v>189</v>
      </c>
      <c r="B207" s="45" t="s">
        <v>89</v>
      </c>
      <c r="C207" s="21" t="s">
        <v>215</v>
      </c>
      <c r="D207" s="32" t="s">
        <v>207</v>
      </c>
      <c r="E207" s="19" t="s">
        <v>235</v>
      </c>
      <c r="F207" s="31" t="s">
        <v>89</v>
      </c>
      <c r="G207" s="52" t="s">
        <v>89</v>
      </c>
      <c r="H207" s="39">
        <v>2000</v>
      </c>
      <c r="I207" s="267"/>
    </row>
    <row r="208" spans="1:9" ht="15.75">
      <c r="A208" s="125" t="s">
        <v>123</v>
      </c>
      <c r="B208" s="110" t="s">
        <v>89</v>
      </c>
      <c r="C208" s="107" t="s">
        <v>216</v>
      </c>
      <c r="D208" s="119" t="s">
        <v>133</v>
      </c>
      <c r="E208" s="107"/>
      <c r="F208" s="105"/>
      <c r="G208" s="98"/>
      <c r="H208" s="87">
        <f>H217+H209+H213</f>
        <v>10080</v>
      </c>
      <c r="I208" s="100">
        <f>I217+I209</f>
        <v>0</v>
      </c>
    </row>
    <row r="209" spans="1:9" ht="15.75">
      <c r="A209" s="26" t="s">
        <v>35</v>
      </c>
      <c r="B209" s="44" t="s">
        <v>89</v>
      </c>
      <c r="C209" s="23" t="s">
        <v>216</v>
      </c>
      <c r="D209" s="31" t="s">
        <v>206</v>
      </c>
      <c r="E209" s="19"/>
      <c r="F209" s="31"/>
      <c r="G209" s="117"/>
      <c r="H209" s="39">
        <f aca="true" t="shared" si="16" ref="H209:I211">H210</f>
        <v>3500</v>
      </c>
      <c r="I209" s="50">
        <f t="shared" si="16"/>
        <v>0</v>
      </c>
    </row>
    <row r="210" spans="1:9" ht="15.75">
      <c r="A210" s="26" t="s">
        <v>106</v>
      </c>
      <c r="B210" s="44" t="s">
        <v>89</v>
      </c>
      <c r="C210" s="23" t="s">
        <v>216</v>
      </c>
      <c r="D210" s="31" t="s">
        <v>206</v>
      </c>
      <c r="E210" s="19" t="s">
        <v>40</v>
      </c>
      <c r="F210" s="31"/>
      <c r="G210" s="117"/>
      <c r="H210" s="39">
        <f t="shared" si="16"/>
        <v>3500</v>
      </c>
      <c r="I210" s="50">
        <f t="shared" si="16"/>
        <v>0</v>
      </c>
    </row>
    <row r="211" spans="1:9" s="49" customFormat="1" ht="15.75">
      <c r="A211" s="26" t="s">
        <v>107</v>
      </c>
      <c r="B211" s="44" t="s">
        <v>89</v>
      </c>
      <c r="C211" s="23" t="s">
        <v>216</v>
      </c>
      <c r="D211" s="31" t="s">
        <v>206</v>
      </c>
      <c r="E211" s="19" t="s">
        <v>258</v>
      </c>
      <c r="F211" s="31"/>
      <c r="G211" s="117"/>
      <c r="H211" s="39">
        <f t="shared" si="16"/>
        <v>3500</v>
      </c>
      <c r="I211" s="50">
        <f t="shared" si="16"/>
        <v>0</v>
      </c>
    </row>
    <row r="212" spans="1:9" s="49" customFormat="1" ht="15.75">
      <c r="A212" s="26" t="s">
        <v>189</v>
      </c>
      <c r="B212" s="44" t="s">
        <v>89</v>
      </c>
      <c r="C212" s="23" t="s">
        <v>216</v>
      </c>
      <c r="D212" s="31" t="s">
        <v>206</v>
      </c>
      <c r="E212" s="19" t="s">
        <v>258</v>
      </c>
      <c r="F212" s="31" t="s">
        <v>89</v>
      </c>
      <c r="G212" s="117" t="s">
        <v>89</v>
      </c>
      <c r="H212" s="39">
        <f>1000+500+2000</f>
        <v>3500</v>
      </c>
      <c r="I212" s="50"/>
    </row>
    <row r="213" spans="1:9" s="49" customFormat="1" ht="15.75">
      <c r="A213" s="125" t="s">
        <v>384</v>
      </c>
      <c r="B213" s="110" t="s">
        <v>89</v>
      </c>
      <c r="C213" s="18" t="s">
        <v>216</v>
      </c>
      <c r="D213" s="119" t="s">
        <v>212</v>
      </c>
      <c r="E213" s="107"/>
      <c r="F213" s="119"/>
      <c r="G213" s="240"/>
      <c r="H213" s="87">
        <f>H214</f>
        <v>3525.8</v>
      </c>
      <c r="I213" s="100"/>
    </row>
    <row r="214" spans="1:9" s="49" customFormat="1" ht="26.25">
      <c r="A214" s="48" t="s">
        <v>106</v>
      </c>
      <c r="B214" s="44" t="s">
        <v>89</v>
      </c>
      <c r="C214" s="23" t="s">
        <v>216</v>
      </c>
      <c r="D214" s="31" t="s">
        <v>212</v>
      </c>
      <c r="E214" s="19" t="s">
        <v>40</v>
      </c>
      <c r="F214" s="31"/>
      <c r="G214" s="88"/>
      <c r="H214" s="39">
        <f>H215</f>
        <v>3525.8</v>
      </c>
      <c r="I214" s="50"/>
    </row>
    <row r="215" spans="1:9" s="24" customFormat="1" ht="26.25">
      <c r="A215" s="47" t="s">
        <v>107</v>
      </c>
      <c r="B215" s="45" t="s">
        <v>89</v>
      </c>
      <c r="C215" s="23" t="s">
        <v>216</v>
      </c>
      <c r="D215" s="32" t="s">
        <v>212</v>
      </c>
      <c r="E215" s="21" t="s">
        <v>258</v>
      </c>
      <c r="F215" s="32"/>
      <c r="G215" s="59"/>
      <c r="H215" s="39">
        <f>H216</f>
        <v>3525.8</v>
      </c>
      <c r="I215" s="50"/>
    </row>
    <row r="216" spans="1:9" s="49" customFormat="1" ht="15.75">
      <c r="A216" s="8" t="s">
        <v>189</v>
      </c>
      <c r="B216" s="45" t="s">
        <v>89</v>
      </c>
      <c r="C216" s="23" t="s">
        <v>216</v>
      </c>
      <c r="D216" s="32" t="s">
        <v>212</v>
      </c>
      <c r="E216" s="21" t="s">
        <v>258</v>
      </c>
      <c r="F216" s="32"/>
      <c r="G216" s="88" t="s">
        <v>89</v>
      </c>
      <c r="H216" s="39">
        <f>2283.8+1242</f>
        <v>3525.8</v>
      </c>
      <c r="I216" s="50"/>
    </row>
    <row r="217" spans="1:9" s="49" customFormat="1" ht="15.75">
      <c r="A217" s="125" t="s">
        <v>16</v>
      </c>
      <c r="B217" s="110" t="s">
        <v>89</v>
      </c>
      <c r="C217" s="18" t="s">
        <v>216</v>
      </c>
      <c r="D217" s="119" t="s">
        <v>208</v>
      </c>
      <c r="E217" s="107"/>
      <c r="F217" s="119"/>
      <c r="G217" s="131"/>
      <c r="H217" s="87">
        <f aca="true" t="shared" si="17" ref="H217:I219">H218</f>
        <v>3054.2</v>
      </c>
      <c r="I217" s="100">
        <f t="shared" si="17"/>
        <v>0</v>
      </c>
    </row>
    <row r="218" spans="1:9" s="49" customFormat="1" ht="26.25">
      <c r="A218" s="48" t="s">
        <v>106</v>
      </c>
      <c r="B218" s="44" t="s">
        <v>89</v>
      </c>
      <c r="C218" s="23" t="s">
        <v>216</v>
      </c>
      <c r="D218" s="31" t="s">
        <v>208</v>
      </c>
      <c r="E218" s="19" t="s">
        <v>40</v>
      </c>
      <c r="F218" s="31"/>
      <c r="G218" s="88"/>
      <c r="H218" s="39">
        <f t="shared" si="17"/>
        <v>3054.2</v>
      </c>
      <c r="I218" s="50">
        <f t="shared" si="17"/>
        <v>0</v>
      </c>
    </row>
    <row r="219" spans="1:9" s="24" customFormat="1" ht="26.25">
      <c r="A219" s="47" t="s">
        <v>107</v>
      </c>
      <c r="B219" s="45" t="s">
        <v>89</v>
      </c>
      <c r="C219" s="23" t="s">
        <v>216</v>
      </c>
      <c r="D219" s="32" t="s">
        <v>208</v>
      </c>
      <c r="E219" s="21" t="s">
        <v>258</v>
      </c>
      <c r="F219" s="32"/>
      <c r="G219" s="59"/>
      <c r="H219" s="37">
        <f t="shared" si="17"/>
        <v>3054.2</v>
      </c>
      <c r="I219" s="61">
        <f t="shared" si="17"/>
        <v>0</v>
      </c>
    </row>
    <row r="220" spans="1:9" ht="15.75">
      <c r="A220" s="8" t="s">
        <v>189</v>
      </c>
      <c r="B220" s="45" t="s">
        <v>89</v>
      </c>
      <c r="C220" s="23" t="s">
        <v>216</v>
      </c>
      <c r="D220" s="32" t="s">
        <v>208</v>
      </c>
      <c r="E220" s="21" t="s">
        <v>258</v>
      </c>
      <c r="F220" s="32"/>
      <c r="G220" s="88" t="s">
        <v>89</v>
      </c>
      <c r="H220" s="37">
        <f>580+3000-2283.8+1758</f>
        <v>3054.2</v>
      </c>
      <c r="I220" s="54"/>
    </row>
    <row r="221" spans="1:9" ht="15.75">
      <c r="A221" s="125" t="s">
        <v>295</v>
      </c>
      <c r="B221" s="110" t="s">
        <v>89</v>
      </c>
      <c r="C221" s="107" t="s">
        <v>213</v>
      </c>
      <c r="D221" s="119" t="s">
        <v>133</v>
      </c>
      <c r="E221" s="107"/>
      <c r="F221" s="105"/>
      <c r="G221" s="98"/>
      <c r="H221" s="87">
        <f>H242+H222</f>
        <v>336812.7</v>
      </c>
      <c r="I221" s="100">
        <f>I242+I222</f>
        <v>180689.7</v>
      </c>
    </row>
    <row r="222" spans="1:9" ht="15.75">
      <c r="A222" s="28" t="s">
        <v>260</v>
      </c>
      <c r="B222" s="43" t="s">
        <v>89</v>
      </c>
      <c r="C222" s="23" t="s">
        <v>213</v>
      </c>
      <c r="D222" s="30" t="s">
        <v>206</v>
      </c>
      <c r="E222" s="23"/>
      <c r="F222" s="6" t="s">
        <v>51</v>
      </c>
      <c r="G222" s="97"/>
      <c r="H222" s="38">
        <f>H223+H227+H231+H235+H239</f>
        <v>276812.7</v>
      </c>
      <c r="I222" s="86">
        <f aca="true" t="shared" si="18" ref="H222:I225">I223</f>
        <v>180689.7</v>
      </c>
    </row>
    <row r="223" spans="1:9" ht="26.25">
      <c r="A223" s="36" t="s">
        <v>229</v>
      </c>
      <c r="B223" s="44" t="s">
        <v>89</v>
      </c>
      <c r="C223" s="19" t="s">
        <v>213</v>
      </c>
      <c r="D223" s="30" t="s">
        <v>206</v>
      </c>
      <c r="E223" s="19" t="s">
        <v>74</v>
      </c>
      <c r="F223" s="7" t="s">
        <v>51</v>
      </c>
      <c r="G223" s="97"/>
      <c r="H223" s="39">
        <f t="shared" si="18"/>
        <v>268812.7</v>
      </c>
      <c r="I223" s="50">
        <f t="shared" si="18"/>
        <v>180689.7</v>
      </c>
    </row>
    <row r="224" spans="1:9" ht="12" customHeight="1">
      <c r="A224" s="36" t="s">
        <v>230</v>
      </c>
      <c r="B224" s="44" t="s">
        <v>89</v>
      </c>
      <c r="C224" s="19" t="s">
        <v>213</v>
      </c>
      <c r="D224" s="30" t="s">
        <v>206</v>
      </c>
      <c r="E224" s="19" t="s">
        <v>231</v>
      </c>
      <c r="F224" s="7" t="s">
        <v>75</v>
      </c>
      <c r="G224" s="52"/>
      <c r="H224" s="39">
        <f t="shared" si="18"/>
        <v>268812.7</v>
      </c>
      <c r="I224" s="50">
        <f t="shared" si="18"/>
        <v>180689.7</v>
      </c>
    </row>
    <row r="225" spans="1:9" ht="69" customHeight="1">
      <c r="A225" s="36" t="s">
        <v>431</v>
      </c>
      <c r="B225" s="44" t="s">
        <v>89</v>
      </c>
      <c r="C225" s="19" t="s">
        <v>213</v>
      </c>
      <c r="D225" s="30" t="s">
        <v>206</v>
      </c>
      <c r="E225" s="19" t="s">
        <v>280</v>
      </c>
      <c r="F225" s="7"/>
      <c r="G225" s="52"/>
      <c r="H225" s="39">
        <f t="shared" si="18"/>
        <v>268812.7</v>
      </c>
      <c r="I225" s="50">
        <f t="shared" si="18"/>
        <v>180689.7</v>
      </c>
    </row>
    <row r="226" spans="1:9" ht="15.75">
      <c r="A226" s="36" t="s">
        <v>232</v>
      </c>
      <c r="B226" s="44" t="s">
        <v>89</v>
      </c>
      <c r="C226" s="19" t="s">
        <v>213</v>
      </c>
      <c r="D226" s="30" t="s">
        <v>206</v>
      </c>
      <c r="E226" s="19" t="s">
        <v>280</v>
      </c>
      <c r="F226" s="7"/>
      <c r="G226" s="52" t="s">
        <v>69</v>
      </c>
      <c r="H226" s="39">
        <f>20000+50000+15000+130000+1000-50000+2123+50000+50689.7</f>
        <v>268812.7</v>
      </c>
      <c r="I226" s="50">
        <f>130000+50689.7</f>
        <v>180689.7</v>
      </c>
    </row>
    <row r="227" spans="1:9" ht="26.25">
      <c r="A227" s="36" t="s">
        <v>229</v>
      </c>
      <c r="B227" s="44" t="s">
        <v>89</v>
      </c>
      <c r="C227" s="19" t="s">
        <v>213</v>
      </c>
      <c r="D227" s="30" t="s">
        <v>206</v>
      </c>
      <c r="E227" s="19" t="s">
        <v>74</v>
      </c>
      <c r="F227" s="7" t="s">
        <v>51</v>
      </c>
      <c r="G227" s="97"/>
      <c r="H227" s="39">
        <f>H228</f>
        <v>3000</v>
      </c>
      <c r="I227" s="50"/>
    </row>
    <row r="228" spans="1:9" ht="45" customHeight="1">
      <c r="A228" s="36" t="s">
        <v>230</v>
      </c>
      <c r="B228" s="44" t="s">
        <v>89</v>
      </c>
      <c r="C228" s="19" t="s">
        <v>213</v>
      </c>
      <c r="D228" s="30" t="s">
        <v>206</v>
      </c>
      <c r="E228" s="19" t="s">
        <v>231</v>
      </c>
      <c r="F228" s="7" t="s">
        <v>75</v>
      </c>
      <c r="G228" s="52"/>
      <c r="H228" s="39">
        <f>H229</f>
        <v>3000</v>
      </c>
      <c r="I228" s="50"/>
    </row>
    <row r="229" spans="1:9" ht="39">
      <c r="A229" s="36" t="s">
        <v>432</v>
      </c>
      <c r="B229" s="44" t="s">
        <v>89</v>
      </c>
      <c r="C229" s="19" t="s">
        <v>213</v>
      </c>
      <c r="D229" s="30" t="s">
        <v>206</v>
      </c>
      <c r="E229" s="19" t="s">
        <v>280</v>
      </c>
      <c r="F229" s="7"/>
      <c r="G229" s="52"/>
      <c r="H229" s="39">
        <f>H230</f>
        <v>3000</v>
      </c>
      <c r="I229" s="50"/>
    </row>
    <row r="230" spans="1:9" ht="15.75">
      <c r="A230" s="36" t="s">
        <v>232</v>
      </c>
      <c r="B230" s="44" t="s">
        <v>89</v>
      </c>
      <c r="C230" s="19" t="s">
        <v>213</v>
      </c>
      <c r="D230" s="30" t="s">
        <v>206</v>
      </c>
      <c r="E230" s="19" t="s">
        <v>280</v>
      </c>
      <c r="F230" s="7"/>
      <c r="G230" s="52" t="s">
        <v>69</v>
      </c>
      <c r="H230" s="39">
        <v>3000</v>
      </c>
      <c r="I230" s="50"/>
    </row>
    <row r="231" spans="1:9" ht="26.25">
      <c r="A231" s="36" t="s">
        <v>229</v>
      </c>
      <c r="B231" s="44" t="s">
        <v>89</v>
      </c>
      <c r="C231" s="19" t="s">
        <v>213</v>
      </c>
      <c r="D231" s="30" t="s">
        <v>206</v>
      </c>
      <c r="E231" s="19" t="s">
        <v>74</v>
      </c>
      <c r="F231" s="7" t="s">
        <v>51</v>
      </c>
      <c r="G231" s="97"/>
      <c r="H231" s="39">
        <f>H232</f>
        <v>3000</v>
      </c>
      <c r="I231" s="50"/>
    </row>
    <row r="232" spans="1:9" ht="44.25" customHeight="1">
      <c r="A232" s="36" t="s">
        <v>230</v>
      </c>
      <c r="B232" s="44" t="s">
        <v>89</v>
      </c>
      <c r="C232" s="19" t="s">
        <v>213</v>
      </c>
      <c r="D232" s="30" t="s">
        <v>206</v>
      </c>
      <c r="E232" s="19" t="s">
        <v>231</v>
      </c>
      <c r="F232" s="7" t="s">
        <v>75</v>
      </c>
      <c r="G232" s="52"/>
      <c r="H232" s="39">
        <f>H233</f>
        <v>3000</v>
      </c>
      <c r="I232" s="50"/>
    </row>
    <row r="233" spans="1:9" ht="39">
      <c r="A233" s="36" t="s">
        <v>433</v>
      </c>
      <c r="B233" s="44" t="s">
        <v>89</v>
      </c>
      <c r="C233" s="19" t="s">
        <v>213</v>
      </c>
      <c r="D233" s="30" t="s">
        <v>206</v>
      </c>
      <c r="E233" s="19" t="s">
        <v>280</v>
      </c>
      <c r="F233" s="7"/>
      <c r="G233" s="52"/>
      <c r="H233" s="39">
        <f>H234</f>
        <v>3000</v>
      </c>
      <c r="I233" s="50"/>
    </row>
    <row r="234" spans="1:9" ht="15.75">
      <c r="A234" s="36" t="s">
        <v>232</v>
      </c>
      <c r="B234" s="44" t="s">
        <v>89</v>
      </c>
      <c r="C234" s="19" t="s">
        <v>213</v>
      </c>
      <c r="D234" s="30" t="s">
        <v>206</v>
      </c>
      <c r="E234" s="19" t="s">
        <v>280</v>
      </c>
      <c r="F234" s="7"/>
      <c r="G234" s="52" t="s">
        <v>69</v>
      </c>
      <c r="H234" s="39">
        <f>10000-7000</f>
        <v>3000</v>
      </c>
      <c r="I234" s="50"/>
    </row>
    <row r="235" spans="1:9" ht="26.25">
      <c r="A235" s="36" t="s">
        <v>229</v>
      </c>
      <c r="B235" s="44" t="s">
        <v>89</v>
      </c>
      <c r="C235" s="19" t="s">
        <v>213</v>
      </c>
      <c r="D235" s="30" t="s">
        <v>206</v>
      </c>
      <c r="E235" s="19" t="s">
        <v>74</v>
      </c>
      <c r="F235" s="7" t="s">
        <v>51</v>
      </c>
      <c r="G235" s="97"/>
      <c r="H235" s="39">
        <f>H236</f>
        <v>0</v>
      </c>
      <c r="I235" s="50"/>
    </row>
    <row r="236" spans="1:9" ht="45.75" customHeight="1">
      <c r="A236" s="36" t="s">
        <v>230</v>
      </c>
      <c r="B236" s="44" t="s">
        <v>89</v>
      </c>
      <c r="C236" s="19" t="s">
        <v>213</v>
      </c>
      <c r="D236" s="30" t="s">
        <v>206</v>
      </c>
      <c r="E236" s="19" t="s">
        <v>231</v>
      </c>
      <c r="F236" s="7" t="s">
        <v>75</v>
      </c>
      <c r="G236" s="52"/>
      <c r="H236" s="39">
        <f>H237</f>
        <v>0</v>
      </c>
      <c r="I236" s="50"/>
    </row>
    <row r="237" spans="1:9" ht="51.75">
      <c r="A237" s="36" t="s">
        <v>434</v>
      </c>
      <c r="B237" s="44" t="s">
        <v>89</v>
      </c>
      <c r="C237" s="19" t="s">
        <v>213</v>
      </c>
      <c r="D237" s="30" t="s">
        <v>206</v>
      </c>
      <c r="E237" s="19" t="s">
        <v>280</v>
      </c>
      <c r="F237" s="7"/>
      <c r="G237" s="52"/>
      <c r="H237" s="39">
        <f>H238</f>
        <v>0</v>
      </c>
      <c r="I237" s="50"/>
    </row>
    <row r="238" spans="1:9" ht="15.75">
      <c r="A238" s="36" t="s">
        <v>232</v>
      </c>
      <c r="B238" s="44" t="s">
        <v>89</v>
      </c>
      <c r="C238" s="19" t="s">
        <v>213</v>
      </c>
      <c r="D238" s="30" t="s">
        <v>206</v>
      </c>
      <c r="E238" s="19" t="s">
        <v>280</v>
      </c>
      <c r="F238" s="7"/>
      <c r="G238" s="52" t="s">
        <v>69</v>
      </c>
      <c r="H238" s="39">
        <f>10000-10000</f>
        <v>0</v>
      </c>
      <c r="I238" s="50"/>
    </row>
    <row r="239" spans="1:9" ht="15.75">
      <c r="A239" s="241" t="s">
        <v>42</v>
      </c>
      <c r="B239" s="44" t="s">
        <v>89</v>
      </c>
      <c r="C239" s="19" t="s">
        <v>213</v>
      </c>
      <c r="D239" s="30" t="s">
        <v>206</v>
      </c>
      <c r="E239" s="19" t="s">
        <v>43</v>
      </c>
      <c r="F239" s="7"/>
      <c r="G239" s="52"/>
      <c r="H239" s="39">
        <f>H240</f>
        <v>2000</v>
      </c>
      <c r="I239" s="50"/>
    </row>
    <row r="240" spans="1:9" ht="15.75">
      <c r="A240" s="241" t="s">
        <v>28</v>
      </c>
      <c r="B240" s="44" t="s">
        <v>89</v>
      </c>
      <c r="C240" s="19" t="s">
        <v>213</v>
      </c>
      <c r="D240" s="30" t="s">
        <v>206</v>
      </c>
      <c r="E240" s="19" t="s">
        <v>261</v>
      </c>
      <c r="F240" s="7"/>
      <c r="G240" s="52"/>
      <c r="H240" s="39">
        <f>H241</f>
        <v>2000</v>
      </c>
      <c r="I240" s="50"/>
    </row>
    <row r="241" spans="1:9" ht="15.75">
      <c r="A241" s="241" t="s">
        <v>189</v>
      </c>
      <c r="B241" s="44" t="s">
        <v>89</v>
      </c>
      <c r="C241" s="19" t="s">
        <v>213</v>
      </c>
      <c r="D241" s="30" t="s">
        <v>206</v>
      </c>
      <c r="E241" s="19" t="s">
        <v>261</v>
      </c>
      <c r="F241" s="7" t="s">
        <v>89</v>
      </c>
      <c r="G241" s="52" t="s">
        <v>89</v>
      </c>
      <c r="H241" s="39">
        <f>2000</f>
        <v>2000</v>
      </c>
      <c r="I241" s="50"/>
    </row>
    <row r="242" spans="1:9" ht="15.75">
      <c r="A242" s="8" t="s">
        <v>265</v>
      </c>
      <c r="B242" s="44" t="s">
        <v>89</v>
      </c>
      <c r="C242" s="19" t="s">
        <v>213</v>
      </c>
      <c r="D242" s="31" t="s">
        <v>216</v>
      </c>
      <c r="E242" s="19"/>
      <c r="F242" s="7"/>
      <c r="G242" s="52"/>
      <c r="H242" s="39">
        <f>H243+H247</f>
        <v>60000</v>
      </c>
      <c r="I242" s="50">
        <f aca="true" t="shared" si="19" ref="H242:I245">I243</f>
        <v>0</v>
      </c>
    </row>
    <row r="243" spans="1:9" ht="26.25">
      <c r="A243" s="36" t="s">
        <v>229</v>
      </c>
      <c r="B243" s="44" t="s">
        <v>89</v>
      </c>
      <c r="C243" s="19" t="s">
        <v>213</v>
      </c>
      <c r="D243" s="31" t="s">
        <v>216</v>
      </c>
      <c r="E243" s="19" t="s">
        <v>74</v>
      </c>
      <c r="F243" s="31"/>
      <c r="G243" s="88"/>
      <c r="H243" s="39">
        <f t="shared" si="19"/>
        <v>60000</v>
      </c>
      <c r="I243" s="50">
        <f t="shared" si="19"/>
        <v>0</v>
      </c>
    </row>
    <row r="244" spans="1:9" ht="26.25">
      <c r="A244" s="36" t="s">
        <v>326</v>
      </c>
      <c r="B244" s="44" t="s">
        <v>89</v>
      </c>
      <c r="C244" s="19" t="s">
        <v>213</v>
      </c>
      <c r="D244" s="31" t="s">
        <v>216</v>
      </c>
      <c r="E244" s="19" t="s">
        <v>231</v>
      </c>
      <c r="F244" s="7"/>
      <c r="G244" s="52"/>
      <c r="H244" s="39">
        <f t="shared" si="19"/>
        <v>60000</v>
      </c>
      <c r="I244" s="50">
        <f t="shared" si="19"/>
        <v>0</v>
      </c>
    </row>
    <row r="245" spans="1:9" ht="64.5">
      <c r="A245" s="36" t="s">
        <v>395</v>
      </c>
      <c r="B245" s="44" t="s">
        <v>89</v>
      </c>
      <c r="C245" s="19" t="s">
        <v>213</v>
      </c>
      <c r="D245" s="31" t="s">
        <v>216</v>
      </c>
      <c r="E245" s="19" t="s">
        <v>280</v>
      </c>
      <c r="F245" s="7"/>
      <c r="G245" s="52"/>
      <c r="H245" s="39">
        <f t="shared" si="19"/>
        <v>60000</v>
      </c>
      <c r="I245" s="50">
        <f t="shared" si="19"/>
        <v>0</v>
      </c>
    </row>
    <row r="246" spans="1:9" ht="15.75">
      <c r="A246" s="36" t="s">
        <v>232</v>
      </c>
      <c r="B246" s="44" t="s">
        <v>89</v>
      </c>
      <c r="C246" s="19" t="s">
        <v>213</v>
      </c>
      <c r="D246" s="31" t="s">
        <v>216</v>
      </c>
      <c r="E246" s="19" t="s">
        <v>280</v>
      </c>
      <c r="F246" s="7"/>
      <c r="G246" s="52" t="s">
        <v>69</v>
      </c>
      <c r="H246" s="39">
        <f>12000+10000-12000+50000</f>
        <v>60000</v>
      </c>
      <c r="I246" s="50">
        <f>12000-12000</f>
        <v>0</v>
      </c>
    </row>
    <row r="247" spans="1:9" ht="33" customHeight="1">
      <c r="A247" s="113" t="s">
        <v>229</v>
      </c>
      <c r="B247" s="44" t="s">
        <v>89</v>
      </c>
      <c r="C247" s="19" t="s">
        <v>213</v>
      </c>
      <c r="D247" s="31" t="s">
        <v>216</v>
      </c>
      <c r="E247" s="19" t="s">
        <v>74</v>
      </c>
      <c r="F247" s="31"/>
      <c r="G247" s="88"/>
      <c r="H247" s="39">
        <f>H248</f>
        <v>0</v>
      </c>
      <c r="I247" s="50"/>
    </row>
    <row r="248" spans="1:9" ht="39">
      <c r="A248" s="113" t="s">
        <v>438</v>
      </c>
      <c r="B248" s="44" t="s">
        <v>89</v>
      </c>
      <c r="C248" s="19" t="s">
        <v>213</v>
      </c>
      <c r="D248" s="31" t="s">
        <v>216</v>
      </c>
      <c r="E248" s="19" t="s">
        <v>231</v>
      </c>
      <c r="F248" s="7"/>
      <c r="G248" s="52"/>
      <c r="H248" s="39">
        <f>H249</f>
        <v>0</v>
      </c>
      <c r="I248" s="50"/>
    </row>
    <row r="249" spans="1:9" ht="45" customHeight="1">
      <c r="A249" s="113" t="s">
        <v>411</v>
      </c>
      <c r="B249" s="44" t="s">
        <v>89</v>
      </c>
      <c r="C249" s="19" t="s">
        <v>213</v>
      </c>
      <c r="D249" s="31" t="s">
        <v>216</v>
      </c>
      <c r="E249" s="19" t="s">
        <v>280</v>
      </c>
      <c r="F249" s="7"/>
      <c r="G249" s="52"/>
      <c r="H249" s="39">
        <f>H250</f>
        <v>0</v>
      </c>
      <c r="I249" s="50"/>
    </row>
    <row r="250" spans="1:9" ht="15.75">
      <c r="A250" s="36" t="s">
        <v>232</v>
      </c>
      <c r="B250" s="44" t="s">
        <v>89</v>
      </c>
      <c r="C250" s="19" t="s">
        <v>213</v>
      </c>
      <c r="D250" s="31" t="s">
        <v>216</v>
      </c>
      <c r="E250" s="19" t="s">
        <v>280</v>
      </c>
      <c r="F250" s="7"/>
      <c r="G250" s="52" t="s">
        <v>69</v>
      </c>
      <c r="H250" s="39">
        <f>10000-3000-7000</f>
        <v>0</v>
      </c>
      <c r="I250" s="50"/>
    </row>
    <row r="251" spans="1:9" ht="15.75">
      <c r="A251" s="125" t="s">
        <v>5</v>
      </c>
      <c r="B251" s="110" t="s">
        <v>89</v>
      </c>
      <c r="C251" s="107" t="s">
        <v>214</v>
      </c>
      <c r="D251" s="119" t="s">
        <v>133</v>
      </c>
      <c r="E251" s="107"/>
      <c r="F251" s="105"/>
      <c r="G251" s="98"/>
      <c r="H251" s="87">
        <f>H252+H256+H275</f>
        <v>56373.4</v>
      </c>
      <c r="I251" s="100">
        <f>I252+I256+I275</f>
        <v>47591</v>
      </c>
    </row>
    <row r="252" spans="1:9" ht="15.75">
      <c r="A252" s="28" t="s">
        <v>48</v>
      </c>
      <c r="B252" s="43" t="s">
        <v>89</v>
      </c>
      <c r="C252" s="23" t="s">
        <v>214</v>
      </c>
      <c r="D252" s="30" t="s">
        <v>206</v>
      </c>
      <c r="E252" s="23"/>
      <c r="F252" s="30"/>
      <c r="G252" s="97"/>
      <c r="H252" s="38">
        <f aca="true" t="shared" si="20" ref="H252:I254">H253</f>
        <v>730</v>
      </c>
      <c r="I252" s="86">
        <f t="shared" si="20"/>
        <v>0</v>
      </c>
    </row>
    <row r="253" spans="1:9" ht="15.75">
      <c r="A253" s="48" t="s">
        <v>270</v>
      </c>
      <c r="B253" s="44" t="s">
        <v>89</v>
      </c>
      <c r="C253" s="23" t="s">
        <v>214</v>
      </c>
      <c r="D253" s="31" t="s">
        <v>206</v>
      </c>
      <c r="E253" s="19" t="s">
        <v>271</v>
      </c>
      <c r="F253" s="31"/>
      <c r="G253" s="88"/>
      <c r="H253" s="39">
        <f t="shared" si="20"/>
        <v>730</v>
      </c>
      <c r="I253" s="50">
        <f t="shared" si="20"/>
        <v>0</v>
      </c>
    </row>
    <row r="254" spans="1:9" ht="26.25">
      <c r="A254" s="48" t="s">
        <v>121</v>
      </c>
      <c r="B254" s="45" t="s">
        <v>89</v>
      </c>
      <c r="C254" s="23" t="s">
        <v>214</v>
      </c>
      <c r="D254" s="32" t="s">
        <v>206</v>
      </c>
      <c r="E254" s="21" t="s">
        <v>272</v>
      </c>
      <c r="F254" s="32"/>
      <c r="G254" s="59"/>
      <c r="H254" s="37">
        <f t="shared" si="20"/>
        <v>730</v>
      </c>
      <c r="I254" s="61">
        <f t="shared" si="20"/>
        <v>0</v>
      </c>
    </row>
    <row r="255" spans="1:9" ht="15.75">
      <c r="A255" s="48" t="s">
        <v>305</v>
      </c>
      <c r="B255" s="45" t="s">
        <v>89</v>
      </c>
      <c r="C255" s="23" t="s">
        <v>214</v>
      </c>
      <c r="D255" s="32" t="s">
        <v>206</v>
      </c>
      <c r="E255" s="21" t="s">
        <v>272</v>
      </c>
      <c r="F255" s="32"/>
      <c r="G255" s="52" t="s">
        <v>53</v>
      </c>
      <c r="H255" s="37">
        <v>730</v>
      </c>
      <c r="I255" s="54"/>
    </row>
    <row r="256" spans="1:9" ht="15.75">
      <c r="A256" s="26" t="s">
        <v>101</v>
      </c>
      <c r="B256" s="44" t="s">
        <v>89</v>
      </c>
      <c r="C256" s="23" t="s">
        <v>214</v>
      </c>
      <c r="D256" s="31" t="s">
        <v>212</v>
      </c>
      <c r="E256" s="19"/>
      <c r="F256" s="31"/>
      <c r="G256" s="88"/>
      <c r="H256" s="39">
        <f>H264+H270+H260+H257</f>
        <v>53043.4</v>
      </c>
      <c r="I256" s="50">
        <f>I264+I270+I260+I257</f>
        <v>47591</v>
      </c>
    </row>
    <row r="257" spans="1:9" ht="15.75">
      <c r="A257" s="26" t="s">
        <v>357</v>
      </c>
      <c r="B257" s="44" t="s">
        <v>89</v>
      </c>
      <c r="C257" s="23" t="s">
        <v>214</v>
      </c>
      <c r="D257" s="31" t="s">
        <v>212</v>
      </c>
      <c r="E257" s="19" t="s">
        <v>358</v>
      </c>
      <c r="F257" s="31"/>
      <c r="G257" s="88"/>
      <c r="H257" s="39">
        <f>H258</f>
        <v>3167</v>
      </c>
      <c r="I257" s="50">
        <f>I258</f>
        <v>2687</v>
      </c>
    </row>
    <row r="258" spans="1:9" ht="15.75">
      <c r="A258" s="26" t="s">
        <v>355</v>
      </c>
      <c r="B258" s="44" t="s">
        <v>89</v>
      </c>
      <c r="C258" s="23" t="s">
        <v>214</v>
      </c>
      <c r="D258" s="31" t="s">
        <v>212</v>
      </c>
      <c r="E258" s="19" t="s">
        <v>359</v>
      </c>
      <c r="F258" s="31"/>
      <c r="G258" s="88"/>
      <c r="H258" s="39">
        <f>H259</f>
        <v>3167</v>
      </c>
      <c r="I258" s="50">
        <f>I259</f>
        <v>2687</v>
      </c>
    </row>
    <row r="259" spans="1:9" ht="15.75">
      <c r="A259" s="26" t="s">
        <v>385</v>
      </c>
      <c r="B259" s="44" t="s">
        <v>89</v>
      </c>
      <c r="C259" s="23" t="s">
        <v>214</v>
      </c>
      <c r="D259" s="31" t="s">
        <v>212</v>
      </c>
      <c r="E259" s="19" t="s">
        <v>359</v>
      </c>
      <c r="F259" s="31"/>
      <c r="G259" s="88" t="s">
        <v>386</v>
      </c>
      <c r="H259" s="39">
        <f>480+2687</f>
        <v>3167</v>
      </c>
      <c r="I259" s="50">
        <v>2687</v>
      </c>
    </row>
    <row r="260" spans="1:9" ht="15.75">
      <c r="A260" s="26" t="s">
        <v>351</v>
      </c>
      <c r="B260" s="44" t="s">
        <v>89</v>
      </c>
      <c r="C260" s="23" t="s">
        <v>214</v>
      </c>
      <c r="D260" s="31" t="s">
        <v>212</v>
      </c>
      <c r="E260" s="19" t="s">
        <v>352</v>
      </c>
      <c r="F260" s="31"/>
      <c r="G260" s="88"/>
      <c r="H260" s="39">
        <f aca="true" t="shared" si="21" ref="H260:I262">H261</f>
        <v>1443</v>
      </c>
      <c r="I260" s="50">
        <f t="shared" si="21"/>
        <v>724</v>
      </c>
    </row>
    <row r="261" spans="1:9" ht="15.75">
      <c r="A261" s="26" t="s">
        <v>353</v>
      </c>
      <c r="B261" s="44" t="s">
        <v>89</v>
      </c>
      <c r="C261" s="23" t="s">
        <v>214</v>
      </c>
      <c r="D261" s="31" t="s">
        <v>212</v>
      </c>
      <c r="E261" s="19" t="s">
        <v>354</v>
      </c>
      <c r="F261" s="31"/>
      <c r="G261" s="88"/>
      <c r="H261" s="39">
        <f t="shared" si="21"/>
        <v>1443</v>
      </c>
      <c r="I261" s="50">
        <f t="shared" si="21"/>
        <v>724</v>
      </c>
    </row>
    <row r="262" spans="1:9" ht="15.75">
      <c r="A262" s="26" t="s">
        <v>355</v>
      </c>
      <c r="B262" s="44" t="s">
        <v>89</v>
      </c>
      <c r="C262" s="23" t="s">
        <v>214</v>
      </c>
      <c r="D262" s="31" t="s">
        <v>212</v>
      </c>
      <c r="E262" s="19" t="s">
        <v>356</v>
      </c>
      <c r="F262" s="31"/>
      <c r="G262" s="88"/>
      <c r="H262" s="39">
        <f t="shared" si="21"/>
        <v>1443</v>
      </c>
      <c r="I262" s="50">
        <f t="shared" si="21"/>
        <v>724</v>
      </c>
    </row>
    <row r="263" spans="1:9" ht="15.75">
      <c r="A263" s="26" t="s">
        <v>385</v>
      </c>
      <c r="B263" s="44" t="s">
        <v>89</v>
      </c>
      <c r="C263" s="23" t="s">
        <v>214</v>
      </c>
      <c r="D263" s="31" t="s">
        <v>212</v>
      </c>
      <c r="E263" s="19" t="s">
        <v>356</v>
      </c>
      <c r="F263" s="31"/>
      <c r="G263" s="88" t="s">
        <v>386</v>
      </c>
      <c r="H263" s="39">
        <f>719+978-978+724</f>
        <v>1443</v>
      </c>
      <c r="I263" s="50">
        <f>978-978+724</f>
        <v>724</v>
      </c>
    </row>
    <row r="264" spans="1:9" ht="15.75">
      <c r="A264" s="26" t="s">
        <v>273</v>
      </c>
      <c r="B264" s="44" t="s">
        <v>89</v>
      </c>
      <c r="C264" s="23" t="s">
        <v>214</v>
      </c>
      <c r="D264" s="31" t="s">
        <v>212</v>
      </c>
      <c r="E264" s="19" t="s">
        <v>93</v>
      </c>
      <c r="F264" s="31"/>
      <c r="G264" s="88"/>
      <c r="H264" s="39">
        <f>H265+H268</f>
        <v>47109.4</v>
      </c>
      <c r="I264" s="50">
        <f>I265+I268</f>
        <v>44180</v>
      </c>
    </row>
    <row r="265" spans="1:9" ht="15.75">
      <c r="A265" s="26" t="s">
        <v>274</v>
      </c>
      <c r="B265" s="44" t="s">
        <v>89</v>
      </c>
      <c r="C265" s="23" t="s">
        <v>214</v>
      </c>
      <c r="D265" s="31" t="s">
        <v>212</v>
      </c>
      <c r="E265" s="19" t="s">
        <v>275</v>
      </c>
      <c r="F265" s="31" t="s">
        <v>94</v>
      </c>
      <c r="G265" s="58"/>
      <c r="H265" s="39">
        <f>H266</f>
        <v>2929.4</v>
      </c>
      <c r="I265" s="50">
        <f>I266</f>
        <v>0</v>
      </c>
    </row>
    <row r="266" spans="1:9" ht="26.25">
      <c r="A266" s="113" t="s">
        <v>276</v>
      </c>
      <c r="B266" s="44" t="s">
        <v>89</v>
      </c>
      <c r="C266" s="23" t="s">
        <v>214</v>
      </c>
      <c r="D266" s="31" t="s">
        <v>212</v>
      </c>
      <c r="E266" s="19" t="s">
        <v>277</v>
      </c>
      <c r="F266" s="7"/>
      <c r="G266" s="58"/>
      <c r="H266" s="39">
        <f>H267</f>
        <v>2929.4</v>
      </c>
      <c r="I266" s="50">
        <f>I267</f>
        <v>0</v>
      </c>
    </row>
    <row r="267" spans="1:9" ht="15.75">
      <c r="A267" s="48" t="s">
        <v>305</v>
      </c>
      <c r="B267" s="44" t="s">
        <v>89</v>
      </c>
      <c r="C267" s="23" t="s">
        <v>214</v>
      </c>
      <c r="D267" s="31" t="s">
        <v>212</v>
      </c>
      <c r="E267" s="19" t="s">
        <v>277</v>
      </c>
      <c r="F267" s="7"/>
      <c r="G267" s="12" t="s">
        <v>53</v>
      </c>
      <c r="H267" s="39">
        <f>2240+280+344+43+10+15-2.6</f>
        <v>2929.4</v>
      </c>
      <c r="I267" s="50"/>
    </row>
    <row r="268" spans="1:9" ht="26.25">
      <c r="A268" s="113" t="s">
        <v>156</v>
      </c>
      <c r="B268" s="44" t="s">
        <v>89</v>
      </c>
      <c r="C268" s="23" t="s">
        <v>214</v>
      </c>
      <c r="D268" s="31" t="s">
        <v>212</v>
      </c>
      <c r="E268" s="19" t="s">
        <v>278</v>
      </c>
      <c r="F268" s="7"/>
      <c r="G268" s="58"/>
      <c r="H268" s="39">
        <f>H269</f>
        <v>44180</v>
      </c>
      <c r="I268" s="50">
        <f>I269</f>
        <v>44180</v>
      </c>
    </row>
    <row r="269" spans="1:9" ht="15.75">
      <c r="A269" s="48" t="s">
        <v>185</v>
      </c>
      <c r="B269" s="44" t="s">
        <v>89</v>
      </c>
      <c r="C269" s="23" t="s">
        <v>214</v>
      </c>
      <c r="D269" s="31" t="s">
        <v>212</v>
      </c>
      <c r="E269" s="19" t="s">
        <v>278</v>
      </c>
      <c r="F269" s="7"/>
      <c r="G269" s="12" t="s">
        <v>53</v>
      </c>
      <c r="H269" s="39">
        <f>56094-9637-2277</f>
        <v>44180</v>
      </c>
      <c r="I269" s="50">
        <f>56094-9637-2277</f>
        <v>44180</v>
      </c>
    </row>
    <row r="270" spans="1:9" ht="15.75">
      <c r="A270" s="8" t="s">
        <v>143</v>
      </c>
      <c r="B270" s="44" t="s">
        <v>89</v>
      </c>
      <c r="C270" s="23" t="s">
        <v>214</v>
      </c>
      <c r="D270" s="31" t="s">
        <v>212</v>
      </c>
      <c r="E270" s="19" t="s">
        <v>144</v>
      </c>
      <c r="F270" s="7"/>
      <c r="G270" s="12"/>
      <c r="H270" s="39">
        <f>H271+H273</f>
        <v>1324</v>
      </c>
      <c r="I270" s="50">
        <f>I271</f>
        <v>0</v>
      </c>
    </row>
    <row r="271" spans="1:9" ht="26.25">
      <c r="A271" s="113" t="s">
        <v>285</v>
      </c>
      <c r="B271" s="44" t="s">
        <v>89</v>
      </c>
      <c r="C271" s="23" t="s">
        <v>214</v>
      </c>
      <c r="D271" s="31" t="s">
        <v>212</v>
      </c>
      <c r="E271" s="19" t="s">
        <v>286</v>
      </c>
      <c r="F271" s="7"/>
      <c r="G271" s="58"/>
      <c r="H271" s="39">
        <f>H272</f>
        <v>605</v>
      </c>
      <c r="I271" s="50">
        <f>I272</f>
        <v>0</v>
      </c>
    </row>
    <row r="272" spans="1:9" ht="15.75">
      <c r="A272" s="28" t="s">
        <v>159</v>
      </c>
      <c r="B272" s="44" t="s">
        <v>89</v>
      </c>
      <c r="C272" s="23" t="s">
        <v>214</v>
      </c>
      <c r="D272" s="31" t="s">
        <v>212</v>
      </c>
      <c r="E272" s="19" t="s">
        <v>286</v>
      </c>
      <c r="F272" s="7"/>
      <c r="G272" s="12" t="s">
        <v>329</v>
      </c>
      <c r="H272" s="39">
        <f>742.1-137.1</f>
        <v>605</v>
      </c>
      <c r="I272" s="50"/>
    </row>
    <row r="273" spans="1:9" ht="26.25">
      <c r="A273" s="113" t="s">
        <v>393</v>
      </c>
      <c r="B273" s="44" t="s">
        <v>89</v>
      </c>
      <c r="C273" s="23" t="s">
        <v>214</v>
      </c>
      <c r="D273" s="31" t="s">
        <v>212</v>
      </c>
      <c r="E273" s="19" t="s">
        <v>394</v>
      </c>
      <c r="F273" s="7"/>
      <c r="G273" s="58"/>
      <c r="H273" s="39">
        <f>H274</f>
        <v>719</v>
      </c>
      <c r="I273" s="50"/>
    </row>
    <row r="274" spans="1:9" ht="15.75">
      <c r="A274" s="28" t="s">
        <v>159</v>
      </c>
      <c r="B274" s="44" t="s">
        <v>89</v>
      </c>
      <c r="C274" s="23" t="s">
        <v>214</v>
      </c>
      <c r="D274" s="31" t="s">
        <v>212</v>
      </c>
      <c r="E274" s="19" t="s">
        <v>394</v>
      </c>
      <c r="F274" s="7"/>
      <c r="G274" s="12" t="s">
        <v>329</v>
      </c>
      <c r="H274" s="39">
        <v>719</v>
      </c>
      <c r="I274" s="50"/>
    </row>
    <row r="275" spans="1:9" ht="15.75">
      <c r="A275" s="115" t="s">
        <v>142</v>
      </c>
      <c r="B275" s="44" t="s">
        <v>89</v>
      </c>
      <c r="C275" s="23" t="s">
        <v>214</v>
      </c>
      <c r="D275" s="31" t="s">
        <v>228</v>
      </c>
      <c r="E275" s="19"/>
      <c r="F275" s="7"/>
      <c r="G275" s="12"/>
      <c r="H275" s="39">
        <f aca="true" t="shared" si="22" ref="H275:I277">H276</f>
        <v>2600</v>
      </c>
      <c r="I275" s="50">
        <f t="shared" si="22"/>
        <v>0</v>
      </c>
    </row>
    <row r="276" spans="1:9" ht="15.75">
      <c r="A276" s="8" t="s">
        <v>143</v>
      </c>
      <c r="B276" s="44" t="s">
        <v>89</v>
      </c>
      <c r="C276" s="23" t="s">
        <v>214</v>
      </c>
      <c r="D276" s="31" t="s">
        <v>228</v>
      </c>
      <c r="E276" s="19" t="s">
        <v>144</v>
      </c>
      <c r="F276" s="7" t="s">
        <v>51</v>
      </c>
      <c r="G276" s="12"/>
      <c r="H276" s="39">
        <f t="shared" si="22"/>
        <v>2600</v>
      </c>
      <c r="I276" s="50">
        <f t="shared" si="22"/>
        <v>0</v>
      </c>
    </row>
    <row r="277" spans="1:9" ht="26.25">
      <c r="A277" s="113" t="s">
        <v>283</v>
      </c>
      <c r="B277" s="44" t="s">
        <v>89</v>
      </c>
      <c r="C277" s="23" t="s">
        <v>214</v>
      </c>
      <c r="D277" s="31" t="s">
        <v>228</v>
      </c>
      <c r="E277" s="19" t="s">
        <v>284</v>
      </c>
      <c r="F277" s="7" t="s">
        <v>51</v>
      </c>
      <c r="G277" s="12"/>
      <c r="H277" s="39">
        <f t="shared" si="22"/>
        <v>2600</v>
      </c>
      <c r="I277" s="50">
        <f t="shared" si="22"/>
        <v>0</v>
      </c>
    </row>
    <row r="278" spans="1:9" ht="16.5" thickBot="1">
      <c r="A278" s="28" t="s">
        <v>159</v>
      </c>
      <c r="B278" s="16" t="s">
        <v>89</v>
      </c>
      <c r="C278" s="23" t="s">
        <v>214</v>
      </c>
      <c r="D278" s="10" t="s">
        <v>228</v>
      </c>
      <c r="E278" s="15" t="s">
        <v>284</v>
      </c>
      <c r="F278" s="10" t="s">
        <v>145</v>
      </c>
      <c r="G278" s="12" t="s">
        <v>329</v>
      </c>
      <c r="H278" s="42">
        <f>2000+3000+1000-3000-400</f>
        <v>2600</v>
      </c>
      <c r="I278" s="101"/>
    </row>
    <row r="279" spans="1:9" ht="19.5" thickBot="1">
      <c r="A279" s="313" t="s">
        <v>129</v>
      </c>
      <c r="B279" s="314" t="s">
        <v>64</v>
      </c>
      <c r="C279" s="315"/>
      <c r="D279" s="316"/>
      <c r="E279" s="315"/>
      <c r="F279" s="316"/>
      <c r="G279" s="317"/>
      <c r="H279" s="318">
        <f>H294+H352+H347+H289+H280</f>
        <v>664276.6</v>
      </c>
      <c r="I279" s="319">
        <f>I294+I352+I347</f>
        <v>269059</v>
      </c>
    </row>
    <row r="280" spans="1:9" ht="15.75">
      <c r="A280" s="347" t="s">
        <v>122</v>
      </c>
      <c r="B280" s="350" t="s">
        <v>64</v>
      </c>
      <c r="C280" s="320" t="s">
        <v>212</v>
      </c>
      <c r="D280" s="320" t="s">
        <v>133</v>
      </c>
      <c r="E280" s="320"/>
      <c r="F280" s="333"/>
      <c r="G280" s="339"/>
      <c r="H280" s="335">
        <f>H285+H281</f>
        <v>580.5</v>
      </c>
      <c r="I280" s="351"/>
    </row>
    <row r="281" spans="1:9" ht="26.25">
      <c r="A281" s="250" t="s">
        <v>186</v>
      </c>
      <c r="B281" s="352" t="s">
        <v>64</v>
      </c>
      <c r="C281" s="325" t="s">
        <v>212</v>
      </c>
      <c r="D281" s="325" t="s">
        <v>213</v>
      </c>
      <c r="E281" s="325"/>
      <c r="F281" s="334"/>
      <c r="G281" s="340"/>
      <c r="H281" s="336">
        <f>H282</f>
        <v>250</v>
      </c>
      <c r="I281" s="353"/>
    </row>
    <row r="282" spans="1:9" s="24" customFormat="1" ht="15.75">
      <c r="A282" s="348" t="s">
        <v>22</v>
      </c>
      <c r="B282" s="352" t="s">
        <v>64</v>
      </c>
      <c r="C282" s="325" t="s">
        <v>212</v>
      </c>
      <c r="D282" s="325" t="s">
        <v>213</v>
      </c>
      <c r="E282" s="325" t="s">
        <v>23</v>
      </c>
      <c r="F282" s="334"/>
      <c r="G282" s="340"/>
      <c r="H282" s="336">
        <f>H283</f>
        <v>250</v>
      </c>
      <c r="I282" s="353"/>
    </row>
    <row r="283" spans="1:9" s="24" customFormat="1" ht="26.25">
      <c r="A283" s="250" t="s">
        <v>125</v>
      </c>
      <c r="B283" s="352" t="s">
        <v>64</v>
      </c>
      <c r="C283" s="325" t="s">
        <v>212</v>
      </c>
      <c r="D283" s="325" t="s">
        <v>213</v>
      </c>
      <c r="E283" s="325" t="s">
        <v>188</v>
      </c>
      <c r="F283" s="334"/>
      <c r="G283" s="340"/>
      <c r="H283" s="336">
        <f>H284</f>
        <v>250</v>
      </c>
      <c r="I283" s="353"/>
    </row>
    <row r="284" spans="1:9" s="24" customFormat="1" ht="15.75">
      <c r="A284" s="348" t="s">
        <v>189</v>
      </c>
      <c r="B284" s="352" t="s">
        <v>64</v>
      </c>
      <c r="C284" s="325" t="s">
        <v>212</v>
      </c>
      <c r="D284" s="325" t="s">
        <v>213</v>
      </c>
      <c r="E284" s="325" t="s">
        <v>188</v>
      </c>
      <c r="F284" s="334" t="s">
        <v>89</v>
      </c>
      <c r="G284" s="340" t="s">
        <v>89</v>
      </c>
      <c r="H284" s="336">
        <v>250</v>
      </c>
      <c r="I284" s="353"/>
    </row>
    <row r="285" spans="1:9" s="24" customFormat="1" ht="26.25">
      <c r="A285" s="113" t="s">
        <v>113</v>
      </c>
      <c r="B285" s="354" t="s">
        <v>64</v>
      </c>
      <c r="C285" s="307" t="s">
        <v>212</v>
      </c>
      <c r="D285" s="307" t="s">
        <v>211</v>
      </c>
      <c r="E285" s="307"/>
      <c r="F285" s="12"/>
      <c r="G285" s="341"/>
      <c r="H285" s="337">
        <f>H286</f>
        <v>330.5</v>
      </c>
      <c r="I285" s="355"/>
    </row>
    <row r="286" spans="1:9" s="24" customFormat="1" ht="15.75">
      <c r="A286" s="349" t="s">
        <v>143</v>
      </c>
      <c r="B286" s="354" t="s">
        <v>64</v>
      </c>
      <c r="C286" s="307" t="s">
        <v>212</v>
      </c>
      <c r="D286" s="307" t="s">
        <v>211</v>
      </c>
      <c r="E286" s="307" t="s">
        <v>144</v>
      </c>
      <c r="F286" s="12"/>
      <c r="G286" s="341"/>
      <c r="H286" s="337">
        <f>H287</f>
        <v>330.5</v>
      </c>
      <c r="I286" s="355"/>
    </row>
    <row r="287" spans="1:9" ht="39">
      <c r="A287" s="113" t="s">
        <v>350</v>
      </c>
      <c r="B287" s="354" t="s">
        <v>64</v>
      </c>
      <c r="C287" s="307" t="s">
        <v>212</v>
      </c>
      <c r="D287" s="307" t="s">
        <v>211</v>
      </c>
      <c r="E287" s="307" t="s">
        <v>349</v>
      </c>
      <c r="F287" s="12"/>
      <c r="G287" s="341"/>
      <c r="H287" s="337">
        <f>H288</f>
        <v>330.5</v>
      </c>
      <c r="I287" s="355"/>
    </row>
    <row r="288" spans="1:9" ht="15.75">
      <c r="A288" s="8" t="s">
        <v>189</v>
      </c>
      <c r="B288" s="354" t="s">
        <v>64</v>
      </c>
      <c r="C288" s="307" t="s">
        <v>212</v>
      </c>
      <c r="D288" s="307" t="s">
        <v>211</v>
      </c>
      <c r="E288" s="307" t="s">
        <v>349</v>
      </c>
      <c r="F288" s="12"/>
      <c r="G288" s="341" t="s">
        <v>89</v>
      </c>
      <c r="H288" s="337">
        <v>330.5</v>
      </c>
      <c r="I288" s="355"/>
    </row>
    <row r="289" spans="1:9" ht="15.75">
      <c r="A289" s="247" t="s">
        <v>45</v>
      </c>
      <c r="B289" s="242" t="s">
        <v>64</v>
      </c>
      <c r="C289" s="146" t="s">
        <v>228</v>
      </c>
      <c r="D289" s="33" t="s">
        <v>133</v>
      </c>
      <c r="E289" s="18"/>
      <c r="F289" s="33"/>
      <c r="G289" s="342"/>
      <c r="H289" s="268">
        <f>H290</f>
        <v>50</v>
      </c>
      <c r="I289" s="268"/>
    </row>
    <row r="290" spans="1:9" ht="15.75">
      <c r="A290" s="28" t="s">
        <v>46</v>
      </c>
      <c r="B290" s="43" t="s">
        <v>64</v>
      </c>
      <c r="C290" s="23" t="s">
        <v>228</v>
      </c>
      <c r="D290" s="30" t="s">
        <v>221</v>
      </c>
      <c r="E290" s="23"/>
      <c r="F290" s="30"/>
      <c r="G290" s="340"/>
      <c r="H290" s="50">
        <f>H291</f>
        <v>50</v>
      </c>
      <c r="I290" s="269"/>
    </row>
    <row r="291" spans="1:9" ht="15.75">
      <c r="A291" s="8" t="s">
        <v>143</v>
      </c>
      <c r="B291" s="44" t="s">
        <v>64</v>
      </c>
      <c r="C291" s="19" t="s">
        <v>228</v>
      </c>
      <c r="D291" s="31" t="s">
        <v>221</v>
      </c>
      <c r="E291" s="19" t="s">
        <v>144</v>
      </c>
      <c r="F291" s="31"/>
      <c r="G291" s="341"/>
      <c r="H291" s="50">
        <f>H292</f>
        <v>50</v>
      </c>
      <c r="I291" s="269"/>
    </row>
    <row r="292" spans="1:9" ht="32.25" customHeight="1">
      <c r="A292" s="113" t="s">
        <v>308</v>
      </c>
      <c r="B292" s="45" t="s">
        <v>64</v>
      </c>
      <c r="C292" s="21" t="s">
        <v>228</v>
      </c>
      <c r="D292" s="32" t="s">
        <v>221</v>
      </c>
      <c r="E292" s="21" t="s">
        <v>309</v>
      </c>
      <c r="F292" s="32"/>
      <c r="G292" s="343"/>
      <c r="H292" s="50">
        <f>H293</f>
        <v>50</v>
      </c>
      <c r="I292" s="269"/>
    </row>
    <row r="293" spans="1:9" ht="15.75">
      <c r="A293" s="28" t="s">
        <v>159</v>
      </c>
      <c r="B293" s="45" t="s">
        <v>64</v>
      </c>
      <c r="C293" s="21" t="s">
        <v>228</v>
      </c>
      <c r="D293" s="32" t="s">
        <v>221</v>
      </c>
      <c r="E293" s="21" t="s">
        <v>309</v>
      </c>
      <c r="F293" s="32"/>
      <c r="G293" s="341" t="s">
        <v>329</v>
      </c>
      <c r="H293" s="50">
        <v>50</v>
      </c>
      <c r="I293" s="269"/>
    </row>
    <row r="294" spans="1:9" ht="15.75">
      <c r="A294" s="125" t="s">
        <v>6</v>
      </c>
      <c r="B294" s="110" t="s">
        <v>64</v>
      </c>
      <c r="C294" s="107" t="s">
        <v>215</v>
      </c>
      <c r="D294" s="119" t="s">
        <v>133</v>
      </c>
      <c r="E294" s="107"/>
      <c r="F294" s="119"/>
      <c r="G294" s="344"/>
      <c r="H294" s="100">
        <f>H308+H326+H330+H295</f>
        <v>658848.1</v>
      </c>
      <c r="I294" s="87">
        <f>I308+I326+I330</f>
        <v>264761</v>
      </c>
    </row>
    <row r="295" spans="1:9" ht="15.75">
      <c r="A295" s="118" t="s">
        <v>7</v>
      </c>
      <c r="B295" s="109" t="s">
        <v>64</v>
      </c>
      <c r="C295" s="18" t="s">
        <v>215</v>
      </c>
      <c r="D295" s="33" t="s">
        <v>206</v>
      </c>
      <c r="E295" s="18"/>
      <c r="F295" s="33"/>
      <c r="G295" s="342"/>
      <c r="H295" s="99">
        <f>H296+H300+H304</f>
        <v>240608.09999999998</v>
      </c>
      <c r="I295" s="99"/>
    </row>
    <row r="296" spans="1:9" ht="26.25">
      <c r="A296" s="36" t="s">
        <v>229</v>
      </c>
      <c r="B296" s="44" t="s">
        <v>64</v>
      </c>
      <c r="C296" s="23" t="s">
        <v>215</v>
      </c>
      <c r="D296" s="30" t="s">
        <v>206</v>
      </c>
      <c r="E296" s="23" t="s">
        <v>74</v>
      </c>
      <c r="F296" s="30"/>
      <c r="G296" s="340"/>
      <c r="H296" s="338">
        <f>H297</f>
        <v>0</v>
      </c>
      <c r="I296" s="99"/>
    </row>
    <row r="297" spans="1:9" ht="39">
      <c r="A297" s="36" t="s">
        <v>230</v>
      </c>
      <c r="B297" s="44" t="s">
        <v>64</v>
      </c>
      <c r="C297" s="23" t="s">
        <v>215</v>
      </c>
      <c r="D297" s="30" t="s">
        <v>206</v>
      </c>
      <c r="E297" s="23" t="s">
        <v>231</v>
      </c>
      <c r="F297" s="30"/>
      <c r="G297" s="340"/>
      <c r="H297" s="338">
        <f>H298</f>
        <v>0</v>
      </c>
      <c r="I297" s="99"/>
    </row>
    <row r="298" spans="1:9" ht="45" customHeight="1">
      <c r="A298" s="36" t="s">
        <v>435</v>
      </c>
      <c r="B298" s="44" t="s">
        <v>64</v>
      </c>
      <c r="C298" s="23" t="s">
        <v>215</v>
      </c>
      <c r="D298" s="30" t="s">
        <v>206</v>
      </c>
      <c r="E298" s="23" t="s">
        <v>280</v>
      </c>
      <c r="F298" s="30"/>
      <c r="G298" s="340"/>
      <c r="H298" s="338">
        <f>H299</f>
        <v>0</v>
      </c>
      <c r="I298" s="99"/>
    </row>
    <row r="299" spans="1:9" ht="15.75">
      <c r="A299" s="36" t="s">
        <v>232</v>
      </c>
      <c r="B299" s="43" t="s">
        <v>64</v>
      </c>
      <c r="C299" s="23" t="s">
        <v>215</v>
      </c>
      <c r="D299" s="30" t="s">
        <v>206</v>
      </c>
      <c r="E299" s="23" t="s">
        <v>280</v>
      </c>
      <c r="F299" s="30"/>
      <c r="G299" s="340" t="s">
        <v>69</v>
      </c>
      <c r="H299" s="338">
        <f>25000-25000</f>
        <v>0</v>
      </c>
      <c r="I299" s="99"/>
    </row>
    <row r="300" spans="1:9" ht="26.25">
      <c r="A300" s="36" t="s">
        <v>229</v>
      </c>
      <c r="B300" s="44" t="s">
        <v>64</v>
      </c>
      <c r="C300" s="23" t="s">
        <v>215</v>
      </c>
      <c r="D300" s="30" t="s">
        <v>206</v>
      </c>
      <c r="E300" s="23" t="s">
        <v>74</v>
      </c>
      <c r="F300" s="30"/>
      <c r="G300" s="340"/>
      <c r="H300" s="338">
        <f>H301</f>
        <v>5000</v>
      </c>
      <c r="I300" s="99"/>
    </row>
    <row r="301" spans="1:9" ht="58.5" customHeight="1">
      <c r="A301" s="36" t="s">
        <v>230</v>
      </c>
      <c r="B301" s="44" t="s">
        <v>64</v>
      </c>
      <c r="C301" s="23" t="s">
        <v>215</v>
      </c>
      <c r="D301" s="30" t="s">
        <v>206</v>
      </c>
      <c r="E301" s="23" t="s">
        <v>231</v>
      </c>
      <c r="F301" s="30"/>
      <c r="G301" s="340"/>
      <c r="H301" s="338">
        <f>H302</f>
        <v>5000</v>
      </c>
      <c r="I301" s="99"/>
    </row>
    <row r="302" spans="1:9" ht="26.25">
      <c r="A302" s="36" t="s">
        <v>436</v>
      </c>
      <c r="B302" s="44" t="s">
        <v>64</v>
      </c>
      <c r="C302" s="23" t="s">
        <v>215</v>
      </c>
      <c r="D302" s="30" t="s">
        <v>206</v>
      </c>
      <c r="E302" s="23" t="s">
        <v>280</v>
      </c>
      <c r="F302" s="30"/>
      <c r="G302" s="340"/>
      <c r="H302" s="338">
        <f>H303</f>
        <v>5000</v>
      </c>
      <c r="I302" s="99"/>
    </row>
    <row r="303" spans="1:9" ht="15.75">
      <c r="A303" s="36" t="s">
        <v>232</v>
      </c>
      <c r="B303" s="43" t="s">
        <v>64</v>
      </c>
      <c r="C303" s="23" t="s">
        <v>215</v>
      </c>
      <c r="D303" s="30" t="s">
        <v>206</v>
      </c>
      <c r="E303" s="23" t="s">
        <v>280</v>
      </c>
      <c r="F303" s="30"/>
      <c r="G303" s="340" t="s">
        <v>69</v>
      </c>
      <c r="H303" s="338">
        <f>60000-50000-5000</f>
        <v>5000</v>
      </c>
      <c r="I303" s="99"/>
    </row>
    <row r="304" spans="1:9" ht="15.75">
      <c r="A304" s="118" t="s">
        <v>7</v>
      </c>
      <c r="B304" s="109" t="s">
        <v>64</v>
      </c>
      <c r="C304" s="18" t="s">
        <v>215</v>
      </c>
      <c r="D304" s="33" t="s">
        <v>206</v>
      </c>
      <c r="E304" s="18"/>
      <c r="F304" s="33"/>
      <c r="G304" s="342"/>
      <c r="H304" s="99">
        <f aca="true" t="shared" si="23" ref="H304:I306">H305</f>
        <v>235608.09999999998</v>
      </c>
      <c r="I304" s="99">
        <f t="shared" si="23"/>
        <v>0</v>
      </c>
    </row>
    <row r="305" spans="1:9" ht="15.75">
      <c r="A305" s="26" t="s">
        <v>8</v>
      </c>
      <c r="B305" s="44" t="s">
        <v>64</v>
      </c>
      <c r="C305" s="19" t="s">
        <v>215</v>
      </c>
      <c r="D305" s="31" t="s">
        <v>206</v>
      </c>
      <c r="E305" s="19" t="s">
        <v>27</v>
      </c>
      <c r="F305" s="31"/>
      <c r="G305" s="341"/>
      <c r="H305" s="50">
        <f t="shared" si="23"/>
        <v>235608.09999999998</v>
      </c>
      <c r="I305" s="50">
        <f t="shared" si="23"/>
        <v>0</v>
      </c>
    </row>
    <row r="306" spans="1:9" s="24" customFormat="1" ht="15.75">
      <c r="A306" s="27" t="s">
        <v>28</v>
      </c>
      <c r="B306" s="44" t="s">
        <v>64</v>
      </c>
      <c r="C306" s="19" t="s">
        <v>215</v>
      </c>
      <c r="D306" s="31" t="s">
        <v>206</v>
      </c>
      <c r="E306" s="19" t="s">
        <v>233</v>
      </c>
      <c r="F306" s="31"/>
      <c r="G306" s="345"/>
      <c r="H306" s="50">
        <f t="shared" si="23"/>
        <v>235608.09999999998</v>
      </c>
      <c r="I306" s="50">
        <f t="shared" si="23"/>
        <v>0</v>
      </c>
    </row>
    <row r="307" spans="1:9" ht="15.75">
      <c r="A307" s="27" t="s">
        <v>189</v>
      </c>
      <c r="B307" s="45" t="s">
        <v>64</v>
      </c>
      <c r="C307" s="21" t="s">
        <v>215</v>
      </c>
      <c r="D307" s="32" t="s">
        <v>206</v>
      </c>
      <c r="E307" s="19" t="s">
        <v>233</v>
      </c>
      <c r="F307" s="31"/>
      <c r="G307" s="340" t="s">
        <v>89</v>
      </c>
      <c r="H307" s="50">
        <f>126772+23.4-430+14597+560+2600+2000+3194+5650+6100+150+112+50+200+400+1156.6+50+53.8+250+2000+6000+5000+7000+235+260+19000+130+30-1638-2600+8934.8+310+205.5+47+100+90+40+25000-310+2285</f>
        <v>235608.09999999998</v>
      </c>
      <c r="I307" s="50"/>
    </row>
    <row r="308" spans="1:9" ht="15.75">
      <c r="A308" s="115" t="s">
        <v>9</v>
      </c>
      <c r="B308" s="112" t="s">
        <v>64</v>
      </c>
      <c r="C308" s="108" t="s">
        <v>215</v>
      </c>
      <c r="D308" s="121" t="s">
        <v>207</v>
      </c>
      <c r="E308" s="107"/>
      <c r="F308" s="119"/>
      <c r="G308" s="344"/>
      <c r="H308" s="100">
        <f>H309+H312+H321+H318+H315</f>
        <v>376351.4</v>
      </c>
      <c r="I308" s="100">
        <f>I309+I312+I321+I318+I315</f>
        <v>260337</v>
      </c>
    </row>
    <row r="309" spans="1:9" ht="15.75">
      <c r="A309" s="248" t="s">
        <v>116</v>
      </c>
      <c r="B309" s="45" t="s">
        <v>64</v>
      </c>
      <c r="C309" s="21" t="s">
        <v>215</v>
      </c>
      <c r="D309" s="32" t="s">
        <v>207</v>
      </c>
      <c r="E309" s="21" t="s">
        <v>29</v>
      </c>
      <c r="F309" s="32"/>
      <c r="G309" s="341"/>
      <c r="H309" s="50">
        <f>H311</f>
        <v>317201.60000000003</v>
      </c>
      <c r="I309" s="50">
        <f>I311</f>
        <v>241869.2</v>
      </c>
    </row>
    <row r="310" spans="1:9" s="24" customFormat="1" ht="15.75">
      <c r="A310" s="27" t="s">
        <v>28</v>
      </c>
      <c r="B310" s="45" t="s">
        <v>64</v>
      </c>
      <c r="C310" s="21" t="s">
        <v>215</v>
      </c>
      <c r="D310" s="32" t="s">
        <v>207</v>
      </c>
      <c r="E310" s="21" t="s">
        <v>234</v>
      </c>
      <c r="F310" s="32"/>
      <c r="G310" s="341"/>
      <c r="H310" s="50">
        <f>H311</f>
        <v>317201.60000000003</v>
      </c>
      <c r="I310" s="50">
        <f>I311</f>
        <v>241869.2</v>
      </c>
    </row>
    <row r="311" spans="1:9" ht="15.75">
      <c r="A311" s="8" t="s">
        <v>189</v>
      </c>
      <c r="B311" s="44" t="s">
        <v>64</v>
      </c>
      <c r="C311" s="19" t="s">
        <v>215</v>
      </c>
      <c r="D311" s="31" t="s">
        <v>207</v>
      </c>
      <c r="E311" s="19" t="s">
        <v>234</v>
      </c>
      <c r="F311" s="31"/>
      <c r="G311" s="341" t="s">
        <v>89</v>
      </c>
      <c r="H311" s="50">
        <f>268363+256.6+2989+8903-7031+5000+819.7-155+10900+100+760+1300+600+710+1589.5+20+40+65+75+250+60+200+6400+520+240+1010+200+60+200+1638+18550+954.2-10617.3+1000+1000+620+200+100-2211+1537.4-14.5</f>
        <v>317201.60000000003</v>
      </c>
      <c r="I311" s="50">
        <f>231762-155-7031+18550+954.2-2211</f>
        <v>241869.2</v>
      </c>
    </row>
    <row r="312" spans="1:9" ht="15.75">
      <c r="A312" s="34" t="s">
        <v>32</v>
      </c>
      <c r="B312" s="16" t="s">
        <v>64</v>
      </c>
      <c r="C312" s="19" t="s">
        <v>215</v>
      </c>
      <c r="D312" s="31" t="s">
        <v>207</v>
      </c>
      <c r="E312" s="15" t="s">
        <v>33</v>
      </c>
      <c r="F312" s="10"/>
      <c r="G312" s="341"/>
      <c r="H312" s="50">
        <f>H313</f>
        <v>40682</v>
      </c>
      <c r="I312" s="50">
        <f>I313</f>
        <v>0</v>
      </c>
    </row>
    <row r="313" spans="1:9" ht="15.75">
      <c r="A313" s="27" t="s">
        <v>28</v>
      </c>
      <c r="B313" s="45" t="s">
        <v>64</v>
      </c>
      <c r="C313" s="19" t="s">
        <v>215</v>
      </c>
      <c r="D313" s="31" t="s">
        <v>207</v>
      </c>
      <c r="E313" s="21" t="s">
        <v>235</v>
      </c>
      <c r="F313" s="10"/>
      <c r="G313" s="345"/>
      <c r="H313" s="50">
        <f>H314</f>
        <v>40682</v>
      </c>
      <c r="I313" s="50">
        <f>I314</f>
        <v>0</v>
      </c>
    </row>
    <row r="314" spans="1:9" ht="15.75">
      <c r="A314" s="8" t="s">
        <v>189</v>
      </c>
      <c r="B314" s="45" t="s">
        <v>64</v>
      </c>
      <c r="C314" s="19" t="s">
        <v>215</v>
      </c>
      <c r="D314" s="31" t="s">
        <v>207</v>
      </c>
      <c r="E314" s="21" t="s">
        <v>235</v>
      </c>
      <c r="F314" s="10"/>
      <c r="G314" s="341" t="s">
        <v>89</v>
      </c>
      <c r="H314" s="50">
        <f>39917-765+45+1000+71.8+100+50+126+143.9-5.8-0.9</f>
        <v>40682</v>
      </c>
      <c r="I314" s="50"/>
    </row>
    <row r="315" spans="1:9" ht="15.75">
      <c r="A315" s="93" t="s">
        <v>364</v>
      </c>
      <c r="B315" s="45" t="s">
        <v>64</v>
      </c>
      <c r="C315" s="19" t="s">
        <v>215</v>
      </c>
      <c r="D315" s="31" t="s">
        <v>207</v>
      </c>
      <c r="E315" s="21" t="s">
        <v>365</v>
      </c>
      <c r="F315" s="10"/>
      <c r="G315" s="341"/>
      <c r="H315" s="50">
        <f>H316</f>
        <v>0</v>
      </c>
      <c r="I315" s="50">
        <f>I316</f>
        <v>0</v>
      </c>
    </row>
    <row r="316" spans="1:9" ht="15.75">
      <c r="A316" s="27" t="s">
        <v>28</v>
      </c>
      <c r="B316" s="45" t="s">
        <v>64</v>
      </c>
      <c r="C316" s="19" t="s">
        <v>215</v>
      </c>
      <c r="D316" s="31" t="s">
        <v>207</v>
      </c>
      <c r="E316" s="21" t="s">
        <v>366</v>
      </c>
      <c r="F316" s="10"/>
      <c r="G316" s="341"/>
      <c r="H316" s="50">
        <f>H317</f>
        <v>0</v>
      </c>
      <c r="I316" s="50">
        <f>I317</f>
        <v>0</v>
      </c>
    </row>
    <row r="317" spans="1:9" ht="15.75">
      <c r="A317" s="8" t="s">
        <v>189</v>
      </c>
      <c r="B317" s="45" t="s">
        <v>64</v>
      </c>
      <c r="C317" s="19" t="s">
        <v>215</v>
      </c>
      <c r="D317" s="31" t="s">
        <v>207</v>
      </c>
      <c r="E317" s="21" t="s">
        <v>366</v>
      </c>
      <c r="F317" s="10"/>
      <c r="G317" s="341" t="s">
        <v>89</v>
      </c>
      <c r="H317" s="50">
        <f>799-799</f>
        <v>0</v>
      </c>
      <c r="I317" s="50">
        <f>799-799</f>
        <v>0</v>
      </c>
    </row>
    <row r="318" spans="1:9" ht="15.75">
      <c r="A318" s="93" t="s">
        <v>320</v>
      </c>
      <c r="B318" s="45" t="s">
        <v>64</v>
      </c>
      <c r="C318" s="19" t="s">
        <v>215</v>
      </c>
      <c r="D318" s="31" t="s">
        <v>207</v>
      </c>
      <c r="E318" s="21" t="s">
        <v>321</v>
      </c>
      <c r="F318" s="10"/>
      <c r="G318" s="341"/>
      <c r="H318" s="50">
        <f>H319</f>
        <v>7215.8</v>
      </c>
      <c r="I318" s="39">
        <f>I319</f>
        <v>7215.8</v>
      </c>
    </row>
    <row r="319" spans="1:9" ht="15.75">
      <c r="A319" s="93" t="s">
        <v>323</v>
      </c>
      <c r="B319" s="45" t="s">
        <v>64</v>
      </c>
      <c r="C319" s="19" t="s">
        <v>215</v>
      </c>
      <c r="D319" s="31" t="s">
        <v>207</v>
      </c>
      <c r="E319" s="21" t="s">
        <v>322</v>
      </c>
      <c r="F319" s="10"/>
      <c r="G319" s="341"/>
      <c r="H319" s="50">
        <f>H320</f>
        <v>7215.8</v>
      </c>
      <c r="I319" s="50">
        <f>I320</f>
        <v>7215.8</v>
      </c>
    </row>
    <row r="320" spans="1:9" ht="15.75">
      <c r="A320" s="93" t="s">
        <v>324</v>
      </c>
      <c r="B320" s="45" t="s">
        <v>64</v>
      </c>
      <c r="C320" s="19" t="s">
        <v>215</v>
      </c>
      <c r="D320" s="31" t="s">
        <v>207</v>
      </c>
      <c r="E320" s="21" t="s">
        <v>322</v>
      </c>
      <c r="F320" s="10"/>
      <c r="G320" s="341" t="s">
        <v>325</v>
      </c>
      <c r="H320" s="50">
        <f>7031+155+29.8</f>
        <v>7215.8</v>
      </c>
      <c r="I320" s="50">
        <f>7031+155+29.8</f>
        <v>7215.8</v>
      </c>
    </row>
    <row r="321" spans="1:9" ht="15.75">
      <c r="A321" s="27" t="s">
        <v>132</v>
      </c>
      <c r="B321" s="45" t="s">
        <v>64</v>
      </c>
      <c r="C321" s="19" t="s">
        <v>215</v>
      </c>
      <c r="D321" s="31" t="s">
        <v>207</v>
      </c>
      <c r="E321" s="21" t="s">
        <v>100</v>
      </c>
      <c r="F321" s="10"/>
      <c r="G321" s="341"/>
      <c r="H321" s="50">
        <f>H322+H324</f>
        <v>11252</v>
      </c>
      <c r="I321" s="39">
        <f>I322+I324</f>
        <v>11252</v>
      </c>
    </row>
    <row r="322" spans="1:9" ht="15.75">
      <c r="A322" s="27" t="s">
        <v>102</v>
      </c>
      <c r="B322" s="45" t="s">
        <v>64</v>
      </c>
      <c r="C322" s="19" t="s">
        <v>215</v>
      </c>
      <c r="D322" s="31" t="s">
        <v>207</v>
      </c>
      <c r="E322" s="21" t="s">
        <v>236</v>
      </c>
      <c r="F322" s="10"/>
      <c r="G322" s="345"/>
      <c r="H322" s="50">
        <f>H323</f>
        <v>3684</v>
      </c>
      <c r="I322" s="50">
        <f>I323</f>
        <v>3684</v>
      </c>
    </row>
    <row r="323" spans="1:9" ht="15.75">
      <c r="A323" s="8" t="s">
        <v>189</v>
      </c>
      <c r="B323" s="45" t="s">
        <v>64</v>
      </c>
      <c r="C323" s="19" t="s">
        <v>215</v>
      </c>
      <c r="D323" s="32" t="s">
        <v>207</v>
      </c>
      <c r="E323" s="21" t="s">
        <v>236</v>
      </c>
      <c r="F323" s="10"/>
      <c r="G323" s="341" t="s">
        <v>89</v>
      </c>
      <c r="H323" s="50">
        <v>3684</v>
      </c>
      <c r="I323" s="50">
        <v>3684</v>
      </c>
    </row>
    <row r="324" spans="1:9" ht="26.25">
      <c r="A324" s="151" t="s">
        <v>387</v>
      </c>
      <c r="B324" s="45" t="s">
        <v>64</v>
      </c>
      <c r="C324" s="19" t="s">
        <v>215</v>
      </c>
      <c r="D324" s="32" t="s">
        <v>207</v>
      </c>
      <c r="E324" s="21" t="s">
        <v>388</v>
      </c>
      <c r="F324" s="10"/>
      <c r="G324" s="341"/>
      <c r="H324" s="50">
        <f>H325</f>
        <v>7568</v>
      </c>
      <c r="I324" s="39">
        <f>I325</f>
        <v>7568</v>
      </c>
    </row>
    <row r="325" spans="1:9" ht="15.75">
      <c r="A325" s="8" t="s">
        <v>189</v>
      </c>
      <c r="B325" s="45" t="s">
        <v>64</v>
      </c>
      <c r="C325" s="19" t="s">
        <v>215</v>
      </c>
      <c r="D325" s="32" t="s">
        <v>207</v>
      </c>
      <c r="E325" s="21" t="s">
        <v>388</v>
      </c>
      <c r="F325" s="10"/>
      <c r="G325" s="341" t="s">
        <v>89</v>
      </c>
      <c r="H325" s="50">
        <f>5001+2567</f>
        <v>7568</v>
      </c>
      <c r="I325" s="39">
        <f>5001+2567</f>
        <v>7568</v>
      </c>
    </row>
    <row r="326" spans="1:9" ht="15.75">
      <c r="A326" s="120" t="s">
        <v>30</v>
      </c>
      <c r="B326" s="112" t="s">
        <v>64</v>
      </c>
      <c r="C326" s="107" t="s">
        <v>215</v>
      </c>
      <c r="D326" s="121" t="s">
        <v>215</v>
      </c>
      <c r="E326" s="107"/>
      <c r="F326" s="119"/>
      <c r="G326" s="344"/>
      <c r="H326" s="100">
        <f aca="true" t="shared" si="24" ref="H326:I328">H327</f>
        <v>2403.6</v>
      </c>
      <c r="I326" s="100">
        <f t="shared" si="24"/>
        <v>0</v>
      </c>
    </row>
    <row r="327" spans="1:9" ht="15.75">
      <c r="A327" s="48" t="s">
        <v>246</v>
      </c>
      <c r="B327" s="45" t="s">
        <v>64</v>
      </c>
      <c r="C327" s="19" t="s">
        <v>215</v>
      </c>
      <c r="D327" s="32" t="s">
        <v>215</v>
      </c>
      <c r="E327" s="21" t="s">
        <v>31</v>
      </c>
      <c r="F327" s="10"/>
      <c r="G327" s="341"/>
      <c r="H327" s="50">
        <f t="shared" si="24"/>
        <v>2403.6</v>
      </c>
      <c r="I327" s="50">
        <f t="shared" si="24"/>
        <v>0</v>
      </c>
    </row>
    <row r="328" spans="1:9" s="24" customFormat="1" ht="15.75">
      <c r="A328" s="26" t="s">
        <v>247</v>
      </c>
      <c r="B328" s="45" t="s">
        <v>64</v>
      </c>
      <c r="C328" s="19" t="s">
        <v>215</v>
      </c>
      <c r="D328" s="32" t="s">
        <v>215</v>
      </c>
      <c r="E328" s="21" t="s">
        <v>248</v>
      </c>
      <c r="F328" s="10"/>
      <c r="G328" s="345"/>
      <c r="H328" s="50">
        <f t="shared" si="24"/>
        <v>2403.6</v>
      </c>
      <c r="I328" s="50">
        <f t="shared" si="24"/>
        <v>0</v>
      </c>
    </row>
    <row r="329" spans="1:9" ht="15.75">
      <c r="A329" s="27" t="s">
        <v>189</v>
      </c>
      <c r="B329" s="45" t="s">
        <v>64</v>
      </c>
      <c r="C329" s="19" t="s">
        <v>215</v>
      </c>
      <c r="D329" s="32" t="s">
        <v>215</v>
      </c>
      <c r="E329" s="21" t="s">
        <v>248</v>
      </c>
      <c r="F329" s="10"/>
      <c r="G329" s="341" t="s">
        <v>89</v>
      </c>
      <c r="H329" s="50">
        <f>5900-100-3500+26.6+77</f>
        <v>2403.6</v>
      </c>
      <c r="I329" s="50"/>
    </row>
    <row r="330" spans="1:9" ht="15.75">
      <c r="A330" s="125" t="s">
        <v>34</v>
      </c>
      <c r="B330" s="110" t="s">
        <v>64</v>
      </c>
      <c r="C330" s="107" t="s">
        <v>215</v>
      </c>
      <c r="D330" s="119" t="s">
        <v>213</v>
      </c>
      <c r="E330" s="107"/>
      <c r="F330" s="119"/>
      <c r="G330" s="344"/>
      <c r="H330" s="100">
        <f>H341+H331+H344+H334</f>
        <v>39485</v>
      </c>
      <c r="I330" s="87">
        <f>I341+I331+I344+I334</f>
        <v>4424</v>
      </c>
    </row>
    <row r="331" spans="1:9" ht="15.75">
      <c r="A331" s="48" t="s">
        <v>160</v>
      </c>
      <c r="B331" s="44" t="s">
        <v>64</v>
      </c>
      <c r="C331" s="19" t="s">
        <v>215</v>
      </c>
      <c r="D331" s="31" t="s">
        <v>213</v>
      </c>
      <c r="E331" s="19" t="s">
        <v>327</v>
      </c>
      <c r="F331" s="31"/>
      <c r="G331" s="341"/>
      <c r="H331" s="50">
        <f>H332</f>
        <v>12028</v>
      </c>
      <c r="I331" s="50">
        <f>I332</f>
        <v>0</v>
      </c>
    </row>
    <row r="332" spans="1:9" s="24" customFormat="1" ht="15.75">
      <c r="A332" s="28" t="s">
        <v>52</v>
      </c>
      <c r="B332" s="44" t="s">
        <v>64</v>
      </c>
      <c r="C332" s="19" t="s">
        <v>215</v>
      </c>
      <c r="D332" s="31" t="s">
        <v>213</v>
      </c>
      <c r="E332" s="19" t="s">
        <v>332</v>
      </c>
      <c r="F332" s="31"/>
      <c r="G332" s="341"/>
      <c r="H332" s="50">
        <f>H333</f>
        <v>12028</v>
      </c>
      <c r="I332" s="50">
        <f>I333</f>
        <v>0</v>
      </c>
    </row>
    <row r="333" spans="1:9" ht="15.75">
      <c r="A333" s="28" t="s">
        <v>299</v>
      </c>
      <c r="B333" s="44" t="s">
        <v>64</v>
      </c>
      <c r="C333" s="19" t="s">
        <v>215</v>
      </c>
      <c r="D333" s="31" t="s">
        <v>213</v>
      </c>
      <c r="E333" s="19" t="s">
        <v>332</v>
      </c>
      <c r="F333" s="31"/>
      <c r="G333" s="341" t="s">
        <v>329</v>
      </c>
      <c r="H333" s="50">
        <f>700+8376.9+69-700+1101+2504-300-200+282.1+195</f>
        <v>12028</v>
      </c>
      <c r="I333" s="50">
        <f>700-700</f>
        <v>0</v>
      </c>
    </row>
    <row r="334" spans="1:9" ht="15.75">
      <c r="A334" s="8" t="s">
        <v>320</v>
      </c>
      <c r="B334" s="44" t="s">
        <v>64</v>
      </c>
      <c r="C334" s="19" t="s">
        <v>215</v>
      </c>
      <c r="D334" s="31" t="s">
        <v>213</v>
      </c>
      <c r="E334" s="19" t="s">
        <v>321</v>
      </c>
      <c r="F334" s="31"/>
      <c r="G334" s="341"/>
      <c r="H334" s="50">
        <f>H335+H337+H339</f>
        <v>3991</v>
      </c>
      <c r="I334" s="39">
        <f>I335+I337+I339</f>
        <v>3991</v>
      </c>
    </row>
    <row r="335" spans="1:9" ht="15.75">
      <c r="A335" s="8" t="s">
        <v>389</v>
      </c>
      <c r="B335" s="44" t="s">
        <v>64</v>
      </c>
      <c r="C335" s="19" t="s">
        <v>215</v>
      </c>
      <c r="D335" s="31" t="s">
        <v>213</v>
      </c>
      <c r="E335" s="19" t="s">
        <v>390</v>
      </c>
      <c r="F335" s="31"/>
      <c r="G335" s="341"/>
      <c r="H335" s="50">
        <f>H336</f>
        <v>1584</v>
      </c>
      <c r="I335" s="39">
        <f>I336</f>
        <v>1584</v>
      </c>
    </row>
    <row r="336" spans="1:9" ht="15.75">
      <c r="A336" s="8" t="s">
        <v>189</v>
      </c>
      <c r="B336" s="44" t="s">
        <v>64</v>
      </c>
      <c r="C336" s="19" t="s">
        <v>215</v>
      </c>
      <c r="D336" s="31" t="s">
        <v>213</v>
      </c>
      <c r="E336" s="19" t="s">
        <v>391</v>
      </c>
      <c r="F336" s="31" t="s">
        <v>89</v>
      </c>
      <c r="G336" s="341" t="s">
        <v>89</v>
      </c>
      <c r="H336" s="50">
        <f>1000+584</f>
        <v>1584</v>
      </c>
      <c r="I336" s="50">
        <f>1000+584</f>
        <v>1584</v>
      </c>
    </row>
    <row r="337" spans="1:9" ht="15.75">
      <c r="A337" s="93" t="s">
        <v>398</v>
      </c>
      <c r="B337" s="44" t="s">
        <v>64</v>
      </c>
      <c r="C337" s="19" t="s">
        <v>215</v>
      </c>
      <c r="D337" s="31" t="s">
        <v>213</v>
      </c>
      <c r="E337" s="19" t="s">
        <v>397</v>
      </c>
      <c r="F337" s="31"/>
      <c r="G337" s="341"/>
      <c r="H337" s="50">
        <f>H338</f>
        <v>40</v>
      </c>
      <c r="I337" s="39">
        <f>I338</f>
        <v>40</v>
      </c>
    </row>
    <row r="338" spans="1:9" ht="15.75">
      <c r="A338" s="93" t="s">
        <v>189</v>
      </c>
      <c r="B338" s="44" t="s">
        <v>64</v>
      </c>
      <c r="C338" s="19" t="s">
        <v>215</v>
      </c>
      <c r="D338" s="31" t="s">
        <v>213</v>
      </c>
      <c r="E338" s="19" t="s">
        <v>397</v>
      </c>
      <c r="F338" s="31" t="s">
        <v>89</v>
      </c>
      <c r="G338" s="341" t="s">
        <v>89</v>
      </c>
      <c r="H338" s="50">
        <v>40</v>
      </c>
      <c r="I338" s="50">
        <v>40</v>
      </c>
    </row>
    <row r="339" spans="1:9" ht="17.25" customHeight="1">
      <c r="A339" s="151" t="s">
        <v>407</v>
      </c>
      <c r="B339" s="44" t="s">
        <v>64</v>
      </c>
      <c r="C339" s="19" t="s">
        <v>215</v>
      </c>
      <c r="D339" s="31" t="s">
        <v>213</v>
      </c>
      <c r="E339" s="19" t="s">
        <v>408</v>
      </c>
      <c r="F339" s="31"/>
      <c r="G339" s="341"/>
      <c r="H339" s="50">
        <f>H340</f>
        <v>2367</v>
      </c>
      <c r="I339" s="39">
        <f>I340</f>
        <v>2367</v>
      </c>
    </row>
    <row r="340" spans="1:9" ht="15.75">
      <c r="A340" s="93" t="s">
        <v>189</v>
      </c>
      <c r="B340" s="44" t="s">
        <v>64</v>
      </c>
      <c r="C340" s="19" t="s">
        <v>215</v>
      </c>
      <c r="D340" s="31" t="s">
        <v>213</v>
      </c>
      <c r="E340" s="19" t="s">
        <v>408</v>
      </c>
      <c r="F340" s="31" t="s">
        <v>89</v>
      </c>
      <c r="G340" s="341" t="s">
        <v>89</v>
      </c>
      <c r="H340" s="50">
        <v>2367</v>
      </c>
      <c r="I340" s="50">
        <v>2367</v>
      </c>
    </row>
    <row r="341" spans="1:9" ht="42" customHeight="1">
      <c r="A341" s="47" t="s">
        <v>117</v>
      </c>
      <c r="B341" s="44" t="s">
        <v>64</v>
      </c>
      <c r="C341" s="19" t="s">
        <v>215</v>
      </c>
      <c r="D341" s="31" t="s">
        <v>213</v>
      </c>
      <c r="E341" s="19" t="s">
        <v>41</v>
      </c>
      <c r="F341" s="31"/>
      <c r="G341" s="341"/>
      <c r="H341" s="50">
        <f>H342</f>
        <v>10835</v>
      </c>
      <c r="I341" s="50">
        <f>I342</f>
        <v>433</v>
      </c>
    </row>
    <row r="342" spans="1:9" ht="15.75">
      <c r="A342" s="26" t="s">
        <v>28</v>
      </c>
      <c r="B342" s="45" t="s">
        <v>64</v>
      </c>
      <c r="C342" s="19" t="s">
        <v>215</v>
      </c>
      <c r="D342" s="31" t="s">
        <v>213</v>
      </c>
      <c r="E342" s="21" t="s">
        <v>249</v>
      </c>
      <c r="F342" s="32"/>
      <c r="G342" s="343"/>
      <c r="H342" s="61">
        <f>H343</f>
        <v>10835</v>
      </c>
      <c r="I342" s="61">
        <f>I343</f>
        <v>433</v>
      </c>
    </row>
    <row r="343" spans="1:9" ht="21" customHeight="1">
      <c r="A343" s="27" t="s">
        <v>189</v>
      </c>
      <c r="B343" s="45" t="s">
        <v>64</v>
      </c>
      <c r="C343" s="19" t="s">
        <v>215</v>
      </c>
      <c r="D343" s="31" t="s">
        <v>213</v>
      </c>
      <c r="E343" s="21" t="s">
        <v>249</v>
      </c>
      <c r="F343" s="32"/>
      <c r="G343" s="341" t="s">
        <v>89</v>
      </c>
      <c r="H343" s="61">
        <f>10758-356+466-38+5</f>
        <v>10835</v>
      </c>
      <c r="I343" s="61">
        <f>466-38+5</f>
        <v>433</v>
      </c>
    </row>
    <row r="344" spans="1:9" ht="15.75">
      <c r="A344" s="26" t="s">
        <v>143</v>
      </c>
      <c r="B344" s="45" t="s">
        <v>64</v>
      </c>
      <c r="C344" s="19" t="s">
        <v>215</v>
      </c>
      <c r="D344" s="31" t="s">
        <v>213</v>
      </c>
      <c r="E344" s="21" t="s">
        <v>144</v>
      </c>
      <c r="F344" s="32"/>
      <c r="G344" s="341"/>
      <c r="H344" s="61">
        <f>H345</f>
        <v>12631</v>
      </c>
      <c r="I344" s="61">
        <f>I345</f>
        <v>0</v>
      </c>
    </row>
    <row r="345" spans="1:9" ht="26.25">
      <c r="A345" s="113" t="s">
        <v>250</v>
      </c>
      <c r="B345" s="45" t="s">
        <v>64</v>
      </c>
      <c r="C345" s="19" t="s">
        <v>215</v>
      </c>
      <c r="D345" s="31" t="s">
        <v>213</v>
      </c>
      <c r="E345" s="21" t="s">
        <v>251</v>
      </c>
      <c r="F345" s="32"/>
      <c r="G345" s="341"/>
      <c r="H345" s="61">
        <f>H346</f>
        <v>12631</v>
      </c>
      <c r="I345" s="61">
        <f>I346</f>
        <v>0</v>
      </c>
    </row>
    <row r="346" spans="1:9" ht="15.75">
      <c r="A346" s="8" t="s">
        <v>189</v>
      </c>
      <c r="B346" s="45" t="s">
        <v>64</v>
      </c>
      <c r="C346" s="19" t="s">
        <v>215</v>
      </c>
      <c r="D346" s="31" t="s">
        <v>213</v>
      </c>
      <c r="E346" s="21" t="s">
        <v>251</v>
      </c>
      <c r="F346" s="32"/>
      <c r="G346" s="341" t="s">
        <v>89</v>
      </c>
      <c r="H346" s="61">
        <f>1000+3500+2000+6131</f>
        <v>12631</v>
      </c>
      <c r="I346" s="54"/>
    </row>
    <row r="347" spans="1:9" ht="15.75">
      <c r="A347" s="249" t="s">
        <v>123</v>
      </c>
      <c r="B347" s="112" t="s">
        <v>64</v>
      </c>
      <c r="C347" s="107" t="s">
        <v>216</v>
      </c>
      <c r="D347" s="119" t="s">
        <v>133</v>
      </c>
      <c r="E347" s="108"/>
      <c r="F347" s="121"/>
      <c r="G347" s="344"/>
      <c r="H347" s="270">
        <f aca="true" t="shared" si="25" ref="H347:I350">H348</f>
        <v>500</v>
      </c>
      <c r="I347" s="270">
        <f t="shared" si="25"/>
        <v>0</v>
      </c>
    </row>
    <row r="348" spans="1:9" ht="15.75">
      <c r="A348" s="114" t="s">
        <v>35</v>
      </c>
      <c r="B348" s="45" t="s">
        <v>64</v>
      </c>
      <c r="C348" s="19" t="s">
        <v>216</v>
      </c>
      <c r="D348" s="31" t="s">
        <v>206</v>
      </c>
      <c r="E348" s="21"/>
      <c r="F348" s="32"/>
      <c r="G348" s="341"/>
      <c r="H348" s="61">
        <f t="shared" si="25"/>
        <v>500</v>
      </c>
      <c r="I348" s="61">
        <f t="shared" si="25"/>
        <v>0</v>
      </c>
    </row>
    <row r="349" spans="1:9" s="24" customFormat="1" ht="26.25">
      <c r="A349" s="126" t="s">
        <v>106</v>
      </c>
      <c r="B349" s="45" t="s">
        <v>64</v>
      </c>
      <c r="C349" s="19" t="s">
        <v>216</v>
      </c>
      <c r="D349" s="31" t="s">
        <v>206</v>
      </c>
      <c r="E349" s="21" t="s">
        <v>40</v>
      </c>
      <c r="F349" s="32"/>
      <c r="G349" s="341"/>
      <c r="H349" s="61">
        <f t="shared" si="25"/>
        <v>500</v>
      </c>
      <c r="I349" s="61">
        <f t="shared" si="25"/>
        <v>0</v>
      </c>
    </row>
    <row r="350" spans="1:9" ht="26.25">
      <c r="A350" s="126" t="s">
        <v>107</v>
      </c>
      <c r="B350" s="45" t="s">
        <v>64</v>
      </c>
      <c r="C350" s="19" t="s">
        <v>216</v>
      </c>
      <c r="D350" s="31" t="s">
        <v>206</v>
      </c>
      <c r="E350" s="21" t="s">
        <v>258</v>
      </c>
      <c r="F350" s="32"/>
      <c r="G350" s="341"/>
      <c r="H350" s="61">
        <f t="shared" si="25"/>
        <v>500</v>
      </c>
      <c r="I350" s="61">
        <f t="shared" si="25"/>
        <v>0</v>
      </c>
    </row>
    <row r="351" spans="1:9" ht="15.75">
      <c r="A351" s="114" t="s">
        <v>189</v>
      </c>
      <c r="B351" s="45" t="s">
        <v>64</v>
      </c>
      <c r="C351" s="19" t="s">
        <v>216</v>
      </c>
      <c r="D351" s="31" t="s">
        <v>206</v>
      </c>
      <c r="E351" s="21" t="s">
        <v>258</v>
      </c>
      <c r="F351" s="32" t="s">
        <v>89</v>
      </c>
      <c r="G351" s="341" t="s">
        <v>89</v>
      </c>
      <c r="H351" s="61">
        <f>300+200</f>
        <v>500</v>
      </c>
      <c r="I351" s="54"/>
    </row>
    <row r="352" spans="1:9" ht="15.75">
      <c r="A352" s="125" t="s">
        <v>5</v>
      </c>
      <c r="B352" s="110" t="s">
        <v>64</v>
      </c>
      <c r="C352" s="107" t="s">
        <v>214</v>
      </c>
      <c r="D352" s="119" t="s">
        <v>133</v>
      </c>
      <c r="E352" s="107"/>
      <c r="F352" s="119"/>
      <c r="G352" s="344"/>
      <c r="H352" s="100">
        <f aca="true" t="shared" si="26" ref="H352:I356">H353</f>
        <v>4298</v>
      </c>
      <c r="I352" s="100">
        <f t="shared" si="26"/>
        <v>4298</v>
      </c>
    </row>
    <row r="353" spans="1:9" ht="15.75">
      <c r="A353" s="28" t="s">
        <v>101</v>
      </c>
      <c r="B353" s="43" t="s">
        <v>64</v>
      </c>
      <c r="C353" s="19" t="s">
        <v>214</v>
      </c>
      <c r="D353" s="31" t="s">
        <v>212</v>
      </c>
      <c r="E353" s="19"/>
      <c r="F353" s="31"/>
      <c r="G353" s="341"/>
      <c r="H353" s="50">
        <f t="shared" si="26"/>
        <v>4298</v>
      </c>
      <c r="I353" s="50">
        <f t="shared" si="26"/>
        <v>4298</v>
      </c>
    </row>
    <row r="354" spans="1:9" ht="15.75">
      <c r="A354" s="28" t="s">
        <v>132</v>
      </c>
      <c r="B354" s="43" t="s">
        <v>64</v>
      </c>
      <c r="C354" s="19" t="s">
        <v>214</v>
      </c>
      <c r="D354" s="31" t="s">
        <v>212</v>
      </c>
      <c r="E354" s="19" t="s">
        <v>100</v>
      </c>
      <c r="F354" s="31"/>
      <c r="G354" s="341"/>
      <c r="H354" s="50">
        <f>H355</f>
        <v>4298</v>
      </c>
      <c r="I354" s="50">
        <f>I355</f>
        <v>4298</v>
      </c>
    </row>
    <row r="355" spans="1:9" ht="51.75">
      <c r="A355" s="36" t="s">
        <v>340</v>
      </c>
      <c r="B355" s="43" t="s">
        <v>64</v>
      </c>
      <c r="C355" s="19" t="s">
        <v>214</v>
      </c>
      <c r="D355" s="31" t="s">
        <v>212</v>
      </c>
      <c r="E355" s="19" t="s">
        <v>339</v>
      </c>
      <c r="F355" s="31"/>
      <c r="G355" s="341"/>
      <c r="H355" s="50">
        <f>H356+H358</f>
        <v>4298</v>
      </c>
      <c r="I355" s="50">
        <f>I356+I358</f>
        <v>4298</v>
      </c>
    </row>
    <row r="356" spans="1:9" s="128" customFormat="1" ht="51.75">
      <c r="A356" s="36" t="s">
        <v>338</v>
      </c>
      <c r="B356" s="43" t="s">
        <v>64</v>
      </c>
      <c r="C356" s="19" t="s">
        <v>214</v>
      </c>
      <c r="D356" s="31" t="s">
        <v>212</v>
      </c>
      <c r="E356" s="19" t="s">
        <v>339</v>
      </c>
      <c r="F356" s="31"/>
      <c r="G356" s="341"/>
      <c r="H356" s="50">
        <f t="shared" si="26"/>
        <v>4298</v>
      </c>
      <c r="I356" s="50">
        <f t="shared" si="26"/>
        <v>4298</v>
      </c>
    </row>
    <row r="357" spans="1:9" s="128" customFormat="1" ht="15.75">
      <c r="A357" s="8" t="s">
        <v>162</v>
      </c>
      <c r="B357" s="43" t="s">
        <v>64</v>
      </c>
      <c r="C357" s="23" t="s">
        <v>214</v>
      </c>
      <c r="D357" s="30" t="s">
        <v>212</v>
      </c>
      <c r="E357" s="23" t="s">
        <v>339</v>
      </c>
      <c r="F357" s="30"/>
      <c r="G357" s="340" t="s">
        <v>53</v>
      </c>
      <c r="H357" s="86">
        <f>4401+114-32-185</f>
        <v>4298</v>
      </c>
      <c r="I357" s="86">
        <f>4401+114-32-185</f>
        <v>4298</v>
      </c>
    </row>
    <row r="358" spans="1:9" s="128" customFormat="1" ht="51.75">
      <c r="A358" s="113" t="s">
        <v>336</v>
      </c>
      <c r="B358" s="44" t="s">
        <v>64</v>
      </c>
      <c r="C358" s="19" t="s">
        <v>214</v>
      </c>
      <c r="D358" s="31" t="s">
        <v>212</v>
      </c>
      <c r="E358" s="19" t="s">
        <v>339</v>
      </c>
      <c r="F358" s="31"/>
      <c r="G358" s="341"/>
      <c r="H358" s="50">
        <f>H359</f>
        <v>0</v>
      </c>
      <c r="I358" s="50">
        <f>I359</f>
        <v>0</v>
      </c>
    </row>
    <row r="359" spans="1:9" s="128" customFormat="1" ht="16.5" thickBot="1">
      <c r="A359" s="244" t="s">
        <v>189</v>
      </c>
      <c r="B359" s="45" t="s">
        <v>64</v>
      </c>
      <c r="C359" s="21" t="s">
        <v>214</v>
      </c>
      <c r="D359" s="32" t="s">
        <v>212</v>
      </c>
      <c r="E359" s="21" t="s">
        <v>339</v>
      </c>
      <c r="F359" s="32"/>
      <c r="G359" s="346" t="s">
        <v>89</v>
      </c>
      <c r="H359" s="61">
        <f>466-466</f>
        <v>0</v>
      </c>
      <c r="I359" s="61">
        <f>466-466</f>
        <v>0</v>
      </c>
    </row>
    <row r="360" spans="1:9" s="128" customFormat="1" ht="19.5" thickBot="1">
      <c r="A360" s="80" t="s">
        <v>70</v>
      </c>
      <c r="B360" s="29" t="s">
        <v>69</v>
      </c>
      <c r="C360" s="22"/>
      <c r="D360" s="13"/>
      <c r="E360" s="22"/>
      <c r="F360" s="13"/>
      <c r="G360" s="56"/>
      <c r="H360" s="40">
        <f>H366+H371+H361</f>
        <v>105744.20000000001</v>
      </c>
      <c r="I360" s="266">
        <f>I366+I371</f>
        <v>167</v>
      </c>
    </row>
    <row r="361" spans="1:9" s="128" customFormat="1" ht="15.75">
      <c r="A361" s="247" t="s">
        <v>45</v>
      </c>
      <c r="B361" s="242" t="s">
        <v>69</v>
      </c>
      <c r="C361" s="146" t="s">
        <v>228</v>
      </c>
      <c r="D361" s="33" t="s">
        <v>133</v>
      </c>
      <c r="E361" s="18"/>
      <c r="F361" s="103"/>
      <c r="G361" s="94"/>
      <c r="H361" s="91">
        <f>H362</f>
        <v>50</v>
      </c>
      <c r="I361" s="99"/>
    </row>
    <row r="362" spans="1:9" ht="15.75">
      <c r="A362" s="28" t="s">
        <v>46</v>
      </c>
      <c r="B362" s="43" t="s">
        <v>69</v>
      </c>
      <c r="C362" s="23" t="s">
        <v>228</v>
      </c>
      <c r="D362" s="30" t="s">
        <v>221</v>
      </c>
      <c r="E362" s="23"/>
      <c r="F362" s="30"/>
      <c r="G362" s="97"/>
      <c r="H362" s="39">
        <f>H363</f>
        <v>50</v>
      </c>
      <c r="I362" s="100"/>
    </row>
    <row r="363" spans="1:9" ht="15.75">
      <c r="A363" s="8" t="s">
        <v>143</v>
      </c>
      <c r="B363" s="44" t="s">
        <v>69</v>
      </c>
      <c r="C363" s="19" t="s">
        <v>228</v>
      </c>
      <c r="D363" s="31" t="s">
        <v>221</v>
      </c>
      <c r="E363" s="19" t="s">
        <v>144</v>
      </c>
      <c r="F363" s="31"/>
      <c r="G363" s="88"/>
      <c r="H363" s="39">
        <f>H364</f>
        <v>50</v>
      </c>
      <c r="I363" s="100"/>
    </row>
    <row r="364" spans="1:9" ht="30" customHeight="1">
      <c r="A364" s="113" t="s">
        <v>308</v>
      </c>
      <c r="B364" s="45" t="s">
        <v>69</v>
      </c>
      <c r="C364" s="21" t="s">
        <v>228</v>
      </c>
      <c r="D364" s="32" t="s">
        <v>221</v>
      </c>
      <c r="E364" s="21" t="s">
        <v>309</v>
      </c>
      <c r="F364" s="32"/>
      <c r="G364" s="90"/>
      <c r="H364" s="39">
        <f>H365</f>
        <v>50</v>
      </c>
      <c r="I364" s="100"/>
    </row>
    <row r="365" spans="1:9" ht="15.75">
      <c r="A365" s="28" t="s">
        <v>159</v>
      </c>
      <c r="B365" s="45" t="s">
        <v>69</v>
      </c>
      <c r="C365" s="21" t="s">
        <v>228</v>
      </c>
      <c r="D365" s="32" t="s">
        <v>221</v>
      </c>
      <c r="E365" s="21" t="s">
        <v>309</v>
      </c>
      <c r="F365" s="32"/>
      <c r="G365" s="52" t="s">
        <v>329</v>
      </c>
      <c r="H365" s="39">
        <v>50</v>
      </c>
      <c r="I365" s="100"/>
    </row>
    <row r="366" spans="1:9" ht="15.75">
      <c r="A366" s="125" t="s">
        <v>6</v>
      </c>
      <c r="B366" s="110" t="s">
        <v>69</v>
      </c>
      <c r="C366" s="107" t="s">
        <v>215</v>
      </c>
      <c r="D366" s="119" t="s">
        <v>133</v>
      </c>
      <c r="E366" s="107"/>
      <c r="F366" s="105"/>
      <c r="G366" s="98"/>
      <c r="H366" s="87">
        <f aca="true" t="shared" si="27" ref="H366:I368">H367</f>
        <v>22192.5</v>
      </c>
      <c r="I366" s="100">
        <f t="shared" si="27"/>
        <v>0</v>
      </c>
    </row>
    <row r="367" spans="1:9" ht="15.75">
      <c r="A367" s="28" t="s">
        <v>9</v>
      </c>
      <c r="B367" s="43" t="s">
        <v>69</v>
      </c>
      <c r="C367" s="19" t="s">
        <v>215</v>
      </c>
      <c r="D367" s="30" t="s">
        <v>207</v>
      </c>
      <c r="E367" s="23"/>
      <c r="F367" s="30"/>
      <c r="G367" s="97"/>
      <c r="H367" s="38">
        <f t="shared" si="27"/>
        <v>22192.5</v>
      </c>
      <c r="I367" s="86">
        <f t="shared" si="27"/>
        <v>0</v>
      </c>
    </row>
    <row r="368" spans="1:9" ht="15.75">
      <c r="A368" s="34" t="s">
        <v>32</v>
      </c>
      <c r="B368" s="16" t="s">
        <v>69</v>
      </c>
      <c r="C368" s="19" t="s">
        <v>215</v>
      </c>
      <c r="D368" s="30" t="s">
        <v>207</v>
      </c>
      <c r="E368" s="15" t="s">
        <v>33</v>
      </c>
      <c r="F368" s="10"/>
      <c r="G368" s="88"/>
      <c r="H368" s="39">
        <f t="shared" si="27"/>
        <v>22192.5</v>
      </c>
      <c r="I368" s="50">
        <f t="shared" si="27"/>
        <v>0</v>
      </c>
    </row>
    <row r="369" spans="1:9" ht="15.75">
      <c r="A369" s="27" t="s">
        <v>28</v>
      </c>
      <c r="B369" s="45" t="s">
        <v>69</v>
      </c>
      <c r="C369" s="19" t="s">
        <v>215</v>
      </c>
      <c r="D369" s="30" t="s">
        <v>207</v>
      </c>
      <c r="E369" s="21" t="s">
        <v>235</v>
      </c>
      <c r="F369" s="10"/>
      <c r="G369" s="59"/>
      <c r="H369" s="37">
        <f>H370</f>
        <v>22192.5</v>
      </c>
      <c r="I369" s="61">
        <f>I370</f>
        <v>0</v>
      </c>
    </row>
    <row r="370" spans="1:9" ht="15.75">
      <c r="A370" s="8" t="s">
        <v>189</v>
      </c>
      <c r="B370" s="45" t="s">
        <v>69</v>
      </c>
      <c r="C370" s="19" t="s">
        <v>215</v>
      </c>
      <c r="D370" s="30" t="s">
        <v>207</v>
      </c>
      <c r="E370" s="21" t="s">
        <v>235</v>
      </c>
      <c r="F370" s="10"/>
      <c r="G370" s="88" t="s">
        <v>89</v>
      </c>
      <c r="H370" s="37">
        <f>18591-1338+1000+447+451.5+2000-2000+2000+200+791+50</f>
        <v>22192.5</v>
      </c>
      <c r="I370" s="54"/>
    </row>
    <row r="371" spans="1:9" ht="15.75">
      <c r="A371" s="125" t="s">
        <v>289</v>
      </c>
      <c r="B371" s="110" t="s">
        <v>69</v>
      </c>
      <c r="C371" s="107" t="s">
        <v>216</v>
      </c>
      <c r="D371" s="119" t="s">
        <v>133</v>
      </c>
      <c r="E371" s="107"/>
      <c r="F371" s="105"/>
      <c r="G371" s="98"/>
      <c r="H371" s="87">
        <f>H372+H393</f>
        <v>83501.70000000001</v>
      </c>
      <c r="I371" s="100">
        <f>I372+I393</f>
        <v>167</v>
      </c>
    </row>
    <row r="372" spans="1:9" ht="15.75">
      <c r="A372" s="28" t="s">
        <v>35</v>
      </c>
      <c r="B372" s="43" t="s">
        <v>69</v>
      </c>
      <c r="C372" s="23" t="s">
        <v>216</v>
      </c>
      <c r="D372" s="30" t="s">
        <v>206</v>
      </c>
      <c r="E372" s="23"/>
      <c r="F372" s="30"/>
      <c r="G372" s="97"/>
      <c r="H372" s="38">
        <f>H373+H376+H379+H382+H385+H390</f>
        <v>76439.6</v>
      </c>
      <c r="I372" s="86">
        <f>I373+I376+I379+I382+I385+I390</f>
        <v>167</v>
      </c>
    </row>
    <row r="373" spans="1:9" ht="26.25">
      <c r="A373" s="48" t="s">
        <v>126</v>
      </c>
      <c r="B373" s="44" t="s">
        <v>69</v>
      </c>
      <c r="C373" s="23" t="s">
        <v>216</v>
      </c>
      <c r="D373" s="30" t="s">
        <v>206</v>
      </c>
      <c r="E373" s="19" t="s">
        <v>36</v>
      </c>
      <c r="F373" s="31"/>
      <c r="G373" s="88"/>
      <c r="H373" s="39">
        <f>H374</f>
        <v>37614.1</v>
      </c>
      <c r="I373" s="50">
        <f>I374</f>
        <v>0</v>
      </c>
    </row>
    <row r="374" spans="1:9" ht="15.75">
      <c r="A374" s="27" t="s">
        <v>28</v>
      </c>
      <c r="B374" s="44" t="s">
        <v>69</v>
      </c>
      <c r="C374" s="23" t="s">
        <v>216</v>
      </c>
      <c r="D374" s="30" t="s">
        <v>206</v>
      </c>
      <c r="E374" s="19" t="s">
        <v>254</v>
      </c>
      <c r="F374" s="31"/>
      <c r="G374" s="117"/>
      <c r="H374" s="39">
        <f>H375</f>
        <v>37614.1</v>
      </c>
      <c r="I374" s="50">
        <f>I375</f>
        <v>0</v>
      </c>
    </row>
    <row r="375" spans="1:9" ht="15.75">
      <c r="A375" s="8" t="s">
        <v>189</v>
      </c>
      <c r="B375" s="44" t="s">
        <v>69</v>
      </c>
      <c r="C375" s="23" t="s">
        <v>216</v>
      </c>
      <c r="D375" s="30" t="s">
        <v>206</v>
      </c>
      <c r="E375" s="19" t="s">
        <v>254</v>
      </c>
      <c r="F375" s="31"/>
      <c r="G375" s="88" t="s">
        <v>89</v>
      </c>
      <c r="H375" s="39">
        <f>28447.9+1402+963+399+3537.2+60+375+2500+398+290-450-308</f>
        <v>37614.1</v>
      </c>
      <c r="I375" s="51">
        <f>290-290</f>
        <v>0</v>
      </c>
    </row>
    <row r="376" spans="1:9" ht="15.75">
      <c r="A376" s="26" t="s">
        <v>13</v>
      </c>
      <c r="B376" s="44" t="s">
        <v>69</v>
      </c>
      <c r="C376" s="23" t="s">
        <v>216</v>
      </c>
      <c r="D376" s="30" t="s">
        <v>206</v>
      </c>
      <c r="E376" s="19" t="s">
        <v>37</v>
      </c>
      <c r="F376" s="31"/>
      <c r="G376" s="88"/>
      <c r="H376" s="39">
        <f>H377</f>
        <v>3698.2999999999997</v>
      </c>
      <c r="I376" s="50">
        <f>I377</f>
        <v>0</v>
      </c>
    </row>
    <row r="377" spans="1:9" ht="15.75">
      <c r="A377" s="27" t="s">
        <v>28</v>
      </c>
      <c r="B377" s="44" t="s">
        <v>69</v>
      </c>
      <c r="C377" s="23" t="s">
        <v>216</v>
      </c>
      <c r="D377" s="30" t="s">
        <v>206</v>
      </c>
      <c r="E377" s="19" t="s">
        <v>255</v>
      </c>
      <c r="F377" s="31"/>
      <c r="G377" s="117"/>
      <c r="H377" s="39">
        <f>H378</f>
        <v>3698.2999999999997</v>
      </c>
      <c r="I377" s="50">
        <f>I378</f>
        <v>0</v>
      </c>
    </row>
    <row r="378" spans="1:9" ht="15.75">
      <c r="A378" s="8" t="s">
        <v>189</v>
      </c>
      <c r="B378" s="44" t="s">
        <v>69</v>
      </c>
      <c r="C378" s="23" t="s">
        <v>216</v>
      </c>
      <c r="D378" s="30" t="s">
        <v>206</v>
      </c>
      <c r="E378" s="19" t="s">
        <v>255</v>
      </c>
      <c r="F378" s="31"/>
      <c r="G378" s="88" t="s">
        <v>89</v>
      </c>
      <c r="H378" s="39">
        <f>3242.7+5.6+250+200+20-20</f>
        <v>3698.2999999999997</v>
      </c>
      <c r="I378" s="51">
        <f>20-20</f>
        <v>0</v>
      </c>
    </row>
    <row r="379" spans="1:9" ht="15.75">
      <c r="A379" s="26" t="s">
        <v>14</v>
      </c>
      <c r="B379" s="44" t="s">
        <v>69</v>
      </c>
      <c r="C379" s="23" t="s">
        <v>216</v>
      </c>
      <c r="D379" s="30" t="s">
        <v>206</v>
      </c>
      <c r="E379" s="19" t="s">
        <v>38</v>
      </c>
      <c r="F379" s="31"/>
      <c r="G379" s="58"/>
      <c r="H379" s="39">
        <f>H380</f>
        <v>9741.900000000001</v>
      </c>
      <c r="I379" s="50">
        <f>I380</f>
        <v>0</v>
      </c>
    </row>
    <row r="380" spans="1:9" ht="15.75">
      <c r="A380" s="27" t="s">
        <v>28</v>
      </c>
      <c r="B380" s="44" t="s">
        <v>69</v>
      </c>
      <c r="C380" s="23" t="s">
        <v>216</v>
      </c>
      <c r="D380" s="30" t="s">
        <v>206</v>
      </c>
      <c r="E380" s="19" t="s">
        <v>256</v>
      </c>
      <c r="F380" s="31"/>
      <c r="G380" s="58"/>
      <c r="H380" s="39">
        <f>H381</f>
        <v>9741.900000000001</v>
      </c>
      <c r="I380" s="50">
        <f>I381</f>
        <v>0</v>
      </c>
    </row>
    <row r="381" spans="1:9" ht="15.75">
      <c r="A381" s="8" t="s">
        <v>189</v>
      </c>
      <c r="B381" s="44" t="s">
        <v>69</v>
      </c>
      <c r="C381" s="23" t="s">
        <v>216</v>
      </c>
      <c r="D381" s="30" t="s">
        <v>206</v>
      </c>
      <c r="E381" s="19" t="s">
        <v>256</v>
      </c>
      <c r="F381" s="31"/>
      <c r="G381" s="88" t="s">
        <v>89</v>
      </c>
      <c r="H381" s="39">
        <f>9317.2+3.7+50+221+150+150-150</f>
        <v>9741.900000000001</v>
      </c>
      <c r="I381" s="50">
        <f>150-150</f>
        <v>0</v>
      </c>
    </row>
    <row r="382" spans="1:9" ht="15.75">
      <c r="A382" s="48" t="s">
        <v>118</v>
      </c>
      <c r="B382" s="44" t="s">
        <v>69</v>
      </c>
      <c r="C382" s="23" t="s">
        <v>216</v>
      </c>
      <c r="D382" s="30" t="s">
        <v>206</v>
      </c>
      <c r="E382" s="19" t="s">
        <v>39</v>
      </c>
      <c r="F382" s="31"/>
      <c r="G382" s="88"/>
      <c r="H382" s="39">
        <f>H383</f>
        <v>17461.300000000003</v>
      </c>
      <c r="I382" s="50">
        <f>I383</f>
        <v>0</v>
      </c>
    </row>
    <row r="383" spans="1:9" ht="15.75">
      <c r="A383" s="27" t="s">
        <v>28</v>
      </c>
      <c r="B383" s="44" t="s">
        <v>69</v>
      </c>
      <c r="C383" s="23" t="s">
        <v>216</v>
      </c>
      <c r="D383" s="30" t="s">
        <v>206</v>
      </c>
      <c r="E383" s="19" t="s">
        <v>257</v>
      </c>
      <c r="F383" s="31"/>
      <c r="G383" s="117"/>
      <c r="H383" s="39">
        <f>H384</f>
        <v>17461.300000000003</v>
      </c>
      <c r="I383" s="50">
        <f>I384</f>
        <v>0</v>
      </c>
    </row>
    <row r="384" spans="1:9" ht="15.75">
      <c r="A384" s="8" t="s">
        <v>189</v>
      </c>
      <c r="B384" s="44" t="s">
        <v>69</v>
      </c>
      <c r="C384" s="23" t="s">
        <v>216</v>
      </c>
      <c r="D384" s="30" t="s">
        <v>206</v>
      </c>
      <c r="E384" s="19" t="s">
        <v>257</v>
      </c>
      <c r="F384" s="31"/>
      <c r="G384" s="88" t="s">
        <v>89</v>
      </c>
      <c r="H384" s="39">
        <f>15668.6+135+189.7+200+78+1200+50-60</f>
        <v>17461.300000000003</v>
      </c>
      <c r="I384" s="51">
        <f>78-78</f>
        <v>0</v>
      </c>
    </row>
    <row r="385" spans="1:9" ht="26.25">
      <c r="A385" s="48" t="s">
        <v>106</v>
      </c>
      <c r="B385" s="44" t="s">
        <v>69</v>
      </c>
      <c r="C385" s="23" t="s">
        <v>216</v>
      </c>
      <c r="D385" s="30" t="s">
        <v>206</v>
      </c>
      <c r="E385" s="19" t="s">
        <v>40</v>
      </c>
      <c r="F385" s="31"/>
      <c r="G385" s="88"/>
      <c r="H385" s="39">
        <f>H388+H386</f>
        <v>2636</v>
      </c>
      <c r="I385" s="39">
        <f>I388+I386</f>
        <v>167</v>
      </c>
    </row>
    <row r="386" spans="1:9" ht="27.75" customHeight="1">
      <c r="A386" s="47" t="s">
        <v>419</v>
      </c>
      <c r="B386" s="44" t="s">
        <v>69</v>
      </c>
      <c r="C386" s="23" t="s">
        <v>216</v>
      </c>
      <c r="D386" s="30" t="s">
        <v>206</v>
      </c>
      <c r="E386" s="19" t="s">
        <v>420</v>
      </c>
      <c r="F386" s="31"/>
      <c r="G386" s="117"/>
      <c r="H386" s="39">
        <f>H387</f>
        <v>167</v>
      </c>
      <c r="I386" s="39">
        <f>I387</f>
        <v>167</v>
      </c>
    </row>
    <row r="387" spans="1:9" ht="15.75">
      <c r="A387" s="47" t="s">
        <v>189</v>
      </c>
      <c r="B387" s="44" t="s">
        <v>69</v>
      </c>
      <c r="C387" s="23" t="s">
        <v>216</v>
      </c>
      <c r="D387" s="30" t="s">
        <v>206</v>
      </c>
      <c r="E387" s="19" t="s">
        <v>420</v>
      </c>
      <c r="F387" s="31"/>
      <c r="G387" s="117" t="s">
        <v>89</v>
      </c>
      <c r="H387" s="39">
        <v>167</v>
      </c>
      <c r="I387" s="50">
        <v>167</v>
      </c>
    </row>
    <row r="388" spans="1:9" ht="26.25">
      <c r="A388" s="47" t="s">
        <v>107</v>
      </c>
      <c r="B388" s="44" t="s">
        <v>69</v>
      </c>
      <c r="C388" s="23" t="s">
        <v>216</v>
      </c>
      <c r="D388" s="30" t="s">
        <v>206</v>
      </c>
      <c r="E388" s="19" t="s">
        <v>258</v>
      </c>
      <c r="F388" s="31"/>
      <c r="G388" s="117"/>
      <c r="H388" s="39">
        <f>H389</f>
        <v>2469</v>
      </c>
      <c r="I388" s="50">
        <f>I389</f>
        <v>0</v>
      </c>
    </row>
    <row r="389" spans="1:9" ht="15.75">
      <c r="A389" s="8" t="s">
        <v>189</v>
      </c>
      <c r="B389" s="44" t="s">
        <v>69</v>
      </c>
      <c r="C389" s="23" t="s">
        <v>216</v>
      </c>
      <c r="D389" s="30" t="s">
        <v>206</v>
      </c>
      <c r="E389" s="19" t="s">
        <v>258</v>
      </c>
      <c r="F389" s="31"/>
      <c r="G389" s="88" t="s">
        <v>89</v>
      </c>
      <c r="H389" s="39">
        <f>1943+481+45</f>
        <v>2469</v>
      </c>
      <c r="I389" s="51"/>
    </row>
    <row r="390" spans="1:9" ht="15.75">
      <c r="A390" s="26" t="s">
        <v>143</v>
      </c>
      <c r="B390" s="44" t="s">
        <v>69</v>
      </c>
      <c r="C390" s="23" t="s">
        <v>216</v>
      </c>
      <c r="D390" s="30" t="s">
        <v>206</v>
      </c>
      <c r="E390" s="19" t="s">
        <v>144</v>
      </c>
      <c r="F390" s="31"/>
      <c r="G390" s="88"/>
      <c r="H390" s="39">
        <f>H391</f>
        <v>5288</v>
      </c>
      <c r="I390" s="50">
        <f>I391</f>
        <v>0</v>
      </c>
    </row>
    <row r="391" spans="1:9" ht="26.25">
      <c r="A391" s="113" t="s">
        <v>291</v>
      </c>
      <c r="B391" s="44" t="s">
        <v>69</v>
      </c>
      <c r="C391" s="23" t="s">
        <v>216</v>
      </c>
      <c r="D391" s="30" t="s">
        <v>206</v>
      </c>
      <c r="E391" s="19" t="s">
        <v>290</v>
      </c>
      <c r="F391" s="31"/>
      <c r="G391" s="88"/>
      <c r="H391" s="39">
        <f>H392</f>
        <v>5288</v>
      </c>
      <c r="I391" s="50">
        <f>I392</f>
        <v>0</v>
      </c>
    </row>
    <row r="392" spans="1:9" ht="15.75">
      <c r="A392" s="8" t="s">
        <v>189</v>
      </c>
      <c r="B392" s="44" t="s">
        <v>69</v>
      </c>
      <c r="C392" s="23" t="s">
        <v>216</v>
      </c>
      <c r="D392" s="30" t="s">
        <v>206</v>
      </c>
      <c r="E392" s="19" t="s">
        <v>290</v>
      </c>
      <c r="F392" s="31"/>
      <c r="G392" s="88" t="s">
        <v>89</v>
      </c>
      <c r="H392" s="39">
        <f>5212+76</f>
        <v>5288</v>
      </c>
      <c r="I392" s="51">
        <v>0</v>
      </c>
    </row>
    <row r="393" spans="1:9" ht="26.25">
      <c r="A393" s="138" t="s">
        <v>119</v>
      </c>
      <c r="B393" s="110" t="s">
        <v>69</v>
      </c>
      <c r="C393" s="18" t="s">
        <v>216</v>
      </c>
      <c r="D393" s="119" t="s">
        <v>228</v>
      </c>
      <c r="E393" s="107"/>
      <c r="F393" s="119"/>
      <c r="G393" s="131"/>
      <c r="H393" s="87">
        <f>H397+H394</f>
        <v>7062.1</v>
      </c>
      <c r="I393" s="100">
        <f>I397+I394</f>
        <v>0</v>
      </c>
    </row>
    <row r="394" spans="1:9" ht="15.75">
      <c r="A394" s="48" t="s">
        <v>160</v>
      </c>
      <c r="B394" s="44" t="s">
        <v>69</v>
      </c>
      <c r="C394" s="23" t="s">
        <v>216</v>
      </c>
      <c r="D394" s="31" t="s">
        <v>228</v>
      </c>
      <c r="E394" s="19" t="s">
        <v>327</v>
      </c>
      <c r="F394" s="31"/>
      <c r="G394" s="88"/>
      <c r="H394" s="39">
        <f>H395</f>
        <v>4566.5</v>
      </c>
      <c r="I394" s="50">
        <f>I395</f>
        <v>0</v>
      </c>
    </row>
    <row r="395" spans="1:9" s="24" customFormat="1" ht="15.75">
      <c r="A395" s="28" t="s">
        <v>52</v>
      </c>
      <c r="B395" s="44" t="s">
        <v>69</v>
      </c>
      <c r="C395" s="23" t="s">
        <v>216</v>
      </c>
      <c r="D395" s="31" t="s">
        <v>228</v>
      </c>
      <c r="E395" s="19" t="s">
        <v>332</v>
      </c>
      <c r="F395" s="31"/>
      <c r="G395" s="52"/>
      <c r="H395" s="39">
        <f>H396</f>
        <v>4566.5</v>
      </c>
      <c r="I395" s="50">
        <f>I396</f>
        <v>0</v>
      </c>
    </row>
    <row r="396" spans="1:9" ht="15.75">
      <c r="A396" s="28" t="s">
        <v>159</v>
      </c>
      <c r="B396" s="44" t="s">
        <v>69</v>
      </c>
      <c r="C396" s="23" t="s">
        <v>216</v>
      </c>
      <c r="D396" s="31" t="s">
        <v>228</v>
      </c>
      <c r="E396" s="19" t="s">
        <v>332</v>
      </c>
      <c r="F396" s="31"/>
      <c r="G396" s="88" t="s">
        <v>329</v>
      </c>
      <c r="H396" s="39">
        <f>3309.1+419+838.4</f>
        <v>4566.5</v>
      </c>
      <c r="I396" s="51"/>
    </row>
    <row r="397" spans="1:9" ht="48" customHeight="1">
      <c r="A397" s="47" t="s">
        <v>117</v>
      </c>
      <c r="B397" s="44" t="s">
        <v>69</v>
      </c>
      <c r="C397" s="23" t="s">
        <v>216</v>
      </c>
      <c r="D397" s="31" t="s">
        <v>228</v>
      </c>
      <c r="E397" s="19" t="s">
        <v>41</v>
      </c>
      <c r="F397" s="31"/>
      <c r="G397" s="88"/>
      <c r="H397" s="39">
        <f>H398</f>
        <v>2495.6</v>
      </c>
      <c r="I397" s="50">
        <f>I398</f>
        <v>0</v>
      </c>
    </row>
    <row r="398" spans="1:9" ht="15.75">
      <c r="A398" s="26" t="s">
        <v>28</v>
      </c>
      <c r="B398" s="45"/>
      <c r="C398" s="23" t="s">
        <v>216</v>
      </c>
      <c r="D398" s="32" t="s">
        <v>228</v>
      </c>
      <c r="E398" s="21" t="s">
        <v>249</v>
      </c>
      <c r="F398" s="32"/>
      <c r="G398" s="133"/>
      <c r="H398" s="37">
        <f>H399</f>
        <v>2495.6</v>
      </c>
      <c r="I398" s="61">
        <f>I399</f>
        <v>0</v>
      </c>
    </row>
    <row r="399" spans="1:9" ht="18" customHeight="1" thickBot="1">
      <c r="A399" s="27" t="s">
        <v>189</v>
      </c>
      <c r="B399" s="45" t="s">
        <v>69</v>
      </c>
      <c r="C399" s="23" t="s">
        <v>216</v>
      </c>
      <c r="D399" s="32" t="s">
        <v>228</v>
      </c>
      <c r="E399" s="21" t="s">
        <v>249</v>
      </c>
      <c r="F399" s="32"/>
      <c r="G399" s="88" t="s">
        <v>89</v>
      </c>
      <c r="H399" s="37">
        <v>2495.6</v>
      </c>
      <c r="I399" s="54"/>
    </row>
    <row r="400" spans="1:9" ht="16.5" customHeight="1" thickBot="1">
      <c r="A400" s="81" t="s">
        <v>124</v>
      </c>
      <c r="B400" s="29" t="s">
        <v>71</v>
      </c>
      <c r="C400" s="22"/>
      <c r="D400" s="13"/>
      <c r="E400" s="22"/>
      <c r="F400" s="13"/>
      <c r="G400" s="56"/>
      <c r="H400" s="40">
        <f>H416+H411+H432+H406+H401</f>
        <v>277401.80000000005</v>
      </c>
      <c r="I400" s="266">
        <f>I416+I411+I432</f>
        <v>12354</v>
      </c>
    </row>
    <row r="401" spans="1:9" ht="15.75">
      <c r="A401" s="125" t="s">
        <v>84</v>
      </c>
      <c r="B401" s="110" t="s">
        <v>71</v>
      </c>
      <c r="C401" s="107" t="s">
        <v>207</v>
      </c>
      <c r="D401" s="254" t="s">
        <v>133</v>
      </c>
      <c r="E401" s="106"/>
      <c r="F401" s="104"/>
      <c r="G401" s="96"/>
      <c r="H401" s="91">
        <f>H402</f>
        <v>345.4</v>
      </c>
      <c r="I401" s="99"/>
    </row>
    <row r="402" spans="1:9" ht="15.75">
      <c r="A402" s="28" t="s">
        <v>85</v>
      </c>
      <c r="B402" s="43" t="s">
        <v>71</v>
      </c>
      <c r="C402" s="23" t="s">
        <v>207</v>
      </c>
      <c r="D402" s="30" t="s">
        <v>208</v>
      </c>
      <c r="E402" s="15"/>
      <c r="F402" s="10"/>
      <c r="G402" s="57"/>
      <c r="H402" s="39">
        <f>H403</f>
        <v>345.4</v>
      </c>
      <c r="I402" s="100"/>
    </row>
    <row r="403" spans="1:9" ht="26.25">
      <c r="A403" s="48" t="s">
        <v>110</v>
      </c>
      <c r="B403" s="44" t="s">
        <v>71</v>
      </c>
      <c r="C403" s="19" t="s">
        <v>207</v>
      </c>
      <c r="D403" s="31" t="s">
        <v>208</v>
      </c>
      <c r="E403" s="19" t="s">
        <v>86</v>
      </c>
      <c r="F403" s="31"/>
      <c r="G403" s="52"/>
      <c r="H403" s="39">
        <f>H404</f>
        <v>345.4</v>
      </c>
      <c r="I403" s="100"/>
    </row>
    <row r="404" spans="1:9" ht="16.5" customHeight="1">
      <c r="A404" s="113" t="s">
        <v>111</v>
      </c>
      <c r="B404" s="44" t="s">
        <v>71</v>
      </c>
      <c r="C404" s="19" t="s">
        <v>207</v>
      </c>
      <c r="D404" s="31" t="s">
        <v>208</v>
      </c>
      <c r="E404" s="19" t="s">
        <v>167</v>
      </c>
      <c r="F404" s="31"/>
      <c r="G404" s="52"/>
      <c r="H404" s="39">
        <f>H405</f>
        <v>345.4</v>
      </c>
      <c r="I404" s="100"/>
    </row>
    <row r="405" spans="1:9" ht="15.75">
      <c r="A405" s="71" t="s">
        <v>159</v>
      </c>
      <c r="B405" s="45" t="s">
        <v>71</v>
      </c>
      <c r="C405" s="21" t="s">
        <v>207</v>
      </c>
      <c r="D405" s="32" t="s">
        <v>208</v>
      </c>
      <c r="E405" s="21" t="s">
        <v>167</v>
      </c>
      <c r="F405" s="32"/>
      <c r="G405" s="57" t="s">
        <v>329</v>
      </c>
      <c r="H405" s="39">
        <v>345.4</v>
      </c>
      <c r="I405" s="100"/>
    </row>
    <row r="406" spans="1:9" ht="15.75">
      <c r="A406" s="115" t="s">
        <v>122</v>
      </c>
      <c r="B406" s="110" t="s">
        <v>71</v>
      </c>
      <c r="C406" s="107" t="s">
        <v>212</v>
      </c>
      <c r="D406" s="254" t="s">
        <v>133</v>
      </c>
      <c r="E406" s="106"/>
      <c r="F406" s="104"/>
      <c r="G406" s="96"/>
      <c r="H406" s="87">
        <f>H407</f>
        <v>966</v>
      </c>
      <c r="I406" s="100"/>
    </row>
    <row r="407" spans="1:9" ht="26.25">
      <c r="A407" s="250" t="s">
        <v>186</v>
      </c>
      <c r="B407" s="43" t="s">
        <v>71</v>
      </c>
      <c r="C407" s="23" t="s">
        <v>212</v>
      </c>
      <c r="D407" s="30" t="s">
        <v>213</v>
      </c>
      <c r="E407" s="259"/>
      <c r="F407" s="258"/>
      <c r="G407" s="262"/>
      <c r="H407" s="38">
        <f>H408</f>
        <v>966</v>
      </c>
      <c r="I407" s="86"/>
    </row>
    <row r="408" spans="1:9" ht="15.75">
      <c r="A408" s="26" t="s">
        <v>22</v>
      </c>
      <c r="B408" s="44" t="s">
        <v>71</v>
      </c>
      <c r="C408" s="19" t="s">
        <v>212</v>
      </c>
      <c r="D408" s="31" t="s">
        <v>213</v>
      </c>
      <c r="E408" s="19" t="s">
        <v>23</v>
      </c>
      <c r="F408" s="31"/>
      <c r="G408" s="88"/>
      <c r="H408" s="39">
        <f>H409</f>
        <v>966</v>
      </c>
      <c r="I408" s="100"/>
    </row>
    <row r="409" spans="1:9" s="49" customFormat="1" ht="30.75" customHeight="1">
      <c r="A409" s="48" t="s">
        <v>125</v>
      </c>
      <c r="B409" s="45" t="s">
        <v>71</v>
      </c>
      <c r="C409" s="21" t="s">
        <v>212</v>
      </c>
      <c r="D409" s="32" t="s">
        <v>213</v>
      </c>
      <c r="E409" s="19" t="s">
        <v>188</v>
      </c>
      <c r="F409" s="31"/>
      <c r="G409" s="60"/>
      <c r="H409" s="39">
        <f>H410</f>
        <v>966</v>
      </c>
      <c r="I409" s="100"/>
    </row>
    <row r="410" spans="1:9" ht="15.75">
      <c r="A410" s="27" t="s">
        <v>189</v>
      </c>
      <c r="B410" s="45" t="s">
        <v>71</v>
      </c>
      <c r="C410" s="21" t="s">
        <v>212</v>
      </c>
      <c r="D410" s="32" t="s">
        <v>213</v>
      </c>
      <c r="E410" s="19" t="s">
        <v>188</v>
      </c>
      <c r="F410" s="31"/>
      <c r="G410" s="97" t="s">
        <v>89</v>
      </c>
      <c r="H410" s="39">
        <f>100+716+150</f>
        <v>966</v>
      </c>
      <c r="I410" s="100"/>
    </row>
    <row r="411" spans="1:9" ht="15.75">
      <c r="A411" s="125" t="s">
        <v>289</v>
      </c>
      <c r="B411" s="110" t="s">
        <v>71</v>
      </c>
      <c r="C411" s="107" t="s">
        <v>216</v>
      </c>
      <c r="D411" s="119"/>
      <c r="E411" s="107"/>
      <c r="F411" s="105"/>
      <c r="G411" s="98"/>
      <c r="H411" s="87">
        <f aca="true" t="shared" si="28" ref="H411:I414">H412</f>
        <v>500</v>
      </c>
      <c r="I411" s="100">
        <f t="shared" si="28"/>
        <v>0</v>
      </c>
    </row>
    <row r="412" spans="1:9" ht="15.75">
      <c r="A412" s="28" t="s">
        <v>35</v>
      </c>
      <c r="B412" s="44" t="s">
        <v>71</v>
      </c>
      <c r="C412" s="19" t="s">
        <v>216</v>
      </c>
      <c r="D412" s="31" t="s">
        <v>206</v>
      </c>
      <c r="E412" s="107"/>
      <c r="F412" s="105"/>
      <c r="G412" s="98"/>
      <c r="H412" s="39">
        <f t="shared" si="28"/>
        <v>500</v>
      </c>
      <c r="I412" s="50">
        <f t="shared" si="28"/>
        <v>0</v>
      </c>
    </row>
    <row r="413" spans="1:9" s="24" customFormat="1" ht="26.25">
      <c r="A413" s="48" t="s">
        <v>106</v>
      </c>
      <c r="B413" s="44" t="s">
        <v>71</v>
      </c>
      <c r="C413" s="19" t="s">
        <v>216</v>
      </c>
      <c r="D413" s="31" t="s">
        <v>206</v>
      </c>
      <c r="E413" s="19" t="s">
        <v>40</v>
      </c>
      <c r="F413" s="31"/>
      <c r="G413" s="88"/>
      <c r="H413" s="39">
        <f t="shared" si="28"/>
        <v>500</v>
      </c>
      <c r="I413" s="50">
        <f t="shared" si="28"/>
        <v>0</v>
      </c>
    </row>
    <row r="414" spans="1:9" ht="26.25">
      <c r="A414" s="47" t="s">
        <v>107</v>
      </c>
      <c r="B414" s="44" t="s">
        <v>71</v>
      </c>
      <c r="C414" s="19" t="s">
        <v>216</v>
      </c>
      <c r="D414" s="31" t="s">
        <v>206</v>
      </c>
      <c r="E414" s="19" t="s">
        <v>258</v>
      </c>
      <c r="F414" s="31"/>
      <c r="G414" s="117"/>
      <c r="H414" s="39">
        <f t="shared" si="28"/>
        <v>500</v>
      </c>
      <c r="I414" s="50">
        <f t="shared" si="28"/>
        <v>0</v>
      </c>
    </row>
    <row r="415" spans="1:9" ht="15.75">
      <c r="A415" s="8" t="s">
        <v>189</v>
      </c>
      <c r="B415" s="44" t="s">
        <v>71</v>
      </c>
      <c r="C415" s="19" t="s">
        <v>216</v>
      </c>
      <c r="D415" s="31" t="s">
        <v>206</v>
      </c>
      <c r="E415" s="19" t="s">
        <v>258</v>
      </c>
      <c r="F415" s="31"/>
      <c r="G415" s="88" t="s">
        <v>89</v>
      </c>
      <c r="H415" s="39">
        <v>500</v>
      </c>
      <c r="I415" s="50"/>
    </row>
    <row r="416" spans="1:9" ht="15.75">
      <c r="A416" s="118" t="s">
        <v>288</v>
      </c>
      <c r="B416" s="109" t="s">
        <v>71</v>
      </c>
      <c r="C416" s="18" t="s">
        <v>213</v>
      </c>
      <c r="D416" s="33" t="s">
        <v>133</v>
      </c>
      <c r="E416" s="18"/>
      <c r="F416" s="103"/>
      <c r="G416" s="94"/>
      <c r="H416" s="91">
        <f>H417+H428</f>
        <v>272190.4</v>
      </c>
      <c r="I416" s="99">
        <f>I417+I428</f>
        <v>12354</v>
      </c>
    </row>
    <row r="417" spans="1:9" ht="15.75">
      <c r="A417" s="118" t="s">
        <v>260</v>
      </c>
      <c r="B417" s="43" t="s">
        <v>71</v>
      </c>
      <c r="C417" s="23" t="s">
        <v>213</v>
      </c>
      <c r="D417" s="30" t="s">
        <v>206</v>
      </c>
      <c r="E417" s="18"/>
      <c r="F417" s="33"/>
      <c r="G417" s="129"/>
      <c r="H417" s="91">
        <f>H418+H422+H425</f>
        <v>272025.4</v>
      </c>
      <c r="I417" s="99">
        <f>I418+I422+I425</f>
        <v>12354</v>
      </c>
    </row>
    <row r="418" spans="1:9" s="24" customFormat="1" ht="26.25">
      <c r="A418" s="36" t="s">
        <v>229</v>
      </c>
      <c r="B418" s="43" t="s">
        <v>71</v>
      </c>
      <c r="C418" s="23" t="s">
        <v>213</v>
      </c>
      <c r="D418" s="30" t="s">
        <v>206</v>
      </c>
      <c r="E418" s="23" t="s">
        <v>74</v>
      </c>
      <c r="F418" s="30"/>
      <c r="G418" s="97"/>
      <c r="H418" s="38">
        <f aca="true" t="shared" si="29" ref="H418:I420">H419</f>
        <v>500</v>
      </c>
      <c r="I418" s="86">
        <f t="shared" si="29"/>
        <v>0</v>
      </c>
    </row>
    <row r="419" spans="1:9" ht="39">
      <c r="A419" s="36" t="s">
        <v>230</v>
      </c>
      <c r="B419" s="43" t="s">
        <v>71</v>
      </c>
      <c r="C419" s="23" t="s">
        <v>213</v>
      </c>
      <c r="D419" s="30" t="s">
        <v>206</v>
      </c>
      <c r="E419" s="23" t="s">
        <v>231</v>
      </c>
      <c r="F419" s="30"/>
      <c r="G419" s="97"/>
      <c r="H419" s="38">
        <f t="shared" si="29"/>
        <v>500</v>
      </c>
      <c r="I419" s="86">
        <f t="shared" si="29"/>
        <v>0</v>
      </c>
    </row>
    <row r="420" spans="1:9" ht="57" customHeight="1">
      <c r="A420" s="36" t="s">
        <v>437</v>
      </c>
      <c r="B420" s="43" t="s">
        <v>71</v>
      </c>
      <c r="C420" s="23" t="s">
        <v>213</v>
      </c>
      <c r="D420" s="30" t="s">
        <v>206</v>
      </c>
      <c r="E420" s="23" t="s">
        <v>280</v>
      </c>
      <c r="F420" s="30"/>
      <c r="G420" s="97"/>
      <c r="H420" s="38">
        <f t="shared" si="29"/>
        <v>500</v>
      </c>
      <c r="I420" s="86">
        <f t="shared" si="29"/>
        <v>0</v>
      </c>
    </row>
    <row r="421" spans="1:9" ht="15.75">
      <c r="A421" s="36" t="s">
        <v>232</v>
      </c>
      <c r="B421" s="43" t="s">
        <v>71</v>
      </c>
      <c r="C421" s="23" t="s">
        <v>213</v>
      </c>
      <c r="D421" s="30" t="s">
        <v>206</v>
      </c>
      <c r="E421" s="23" t="s">
        <v>280</v>
      </c>
      <c r="F421" s="30"/>
      <c r="G421" s="97" t="s">
        <v>69</v>
      </c>
      <c r="H421" s="38">
        <v>500</v>
      </c>
      <c r="I421" s="86"/>
    </row>
    <row r="422" spans="1:9" ht="15.75">
      <c r="A422" s="26" t="s">
        <v>42</v>
      </c>
      <c r="B422" s="43" t="s">
        <v>71</v>
      </c>
      <c r="C422" s="23" t="s">
        <v>213</v>
      </c>
      <c r="D422" s="31" t="s">
        <v>206</v>
      </c>
      <c r="E422" s="19" t="s">
        <v>43</v>
      </c>
      <c r="F422" s="31"/>
      <c r="G422" s="88"/>
      <c r="H422" s="39">
        <f>H423</f>
        <v>268972.9</v>
      </c>
      <c r="I422" s="50">
        <f>I423</f>
        <v>10412</v>
      </c>
    </row>
    <row r="423" spans="1:9" ht="15.75">
      <c r="A423" s="27" t="s">
        <v>28</v>
      </c>
      <c r="B423" s="43" t="s">
        <v>71</v>
      </c>
      <c r="C423" s="23" t="s">
        <v>213</v>
      </c>
      <c r="D423" s="31" t="s">
        <v>206</v>
      </c>
      <c r="E423" s="19" t="s">
        <v>261</v>
      </c>
      <c r="F423" s="31"/>
      <c r="G423" s="97"/>
      <c r="H423" s="39">
        <f>H424</f>
        <v>268972.9</v>
      </c>
      <c r="I423" s="50">
        <f>I424</f>
        <v>10412</v>
      </c>
    </row>
    <row r="424" spans="1:9" ht="15.75">
      <c r="A424" s="27" t="s">
        <v>189</v>
      </c>
      <c r="B424" s="43" t="s">
        <v>71</v>
      </c>
      <c r="C424" s="23" t="s">
        <v>213</v>
      </c>
      <c r="D424" s="31" t="s">
        <v>206</v>
      </c>
      <c r="E424" s="19" t="s">
        <v>261</v>
      </c>
      <c r="F424" s="31"/>
      <c r="G424" s="97" t="s">
        <v>89</v>
      </c>
      <c r="H424" s="39">
        <f>235384+56-165+3500+7769+2000+1872.5-799+5000+100-2000+500+387.4+5200+5000+107+3500+30+81+3765+50-2215-300+150</f>
        <v>268972.9</v>
      </c>
      <c r="I424" s="50">
        <f>2457+7769-799+3500-2215-300</f>
        <v>10412</v>
      </c>
    </row>
    <row r="425" spans="1:9" ht="15.75">
      <c r="A425" s="27" t="s">
        <v>132</v>
      </c>
      <c r="B425" s="43" t="s">
        <v>71</v>
      </c>
      <c r="C425" s="23" t="s">
        <v>213</v>
      </c>
      <c r="D425" s="31" t="s">
        <v>206</v>
      </c>
      <c r="E425" s="19" t="s">
        <v>100</v>
      </c>
      <c r="F425" s="31"/>
      <c r="G425" s="97"/>
      <c r="H425" s="39">
        <f>H426</f>
        <v>2552.5</v>
      </c>
      <c r="I425" s="50">
        <f>I426</f>
        <v>1942</v>
      </c>
    </row>
    <row r="426" spans="1:9" ht="15.75">
      <c r="A426" s="27" t="s">
        <v>333</v>
      </c>
      <c r="B426" s="43" t="s">
        <v>71</v>
      </c>
      <c r="C426" s="23" t="s">
        <v>213</v>
      </c>
      <c r="D426" s="31" t="s">
        <v>206</v>
      </c>
      <c r="E426" s="19" t="s">
        <v>334</v>
      </c>
      <c r="F426" s="31"/>
      <c r="G426" s="97"/>
      <c r="H426" s="39">
        <f>H427</f>
        <v>2552.5</v>
      </c>
      <c r="I426" s="50">
        <f>I427</f>
        <v>1942</v>
      </c>
    </row>
    <row r="427" spans="1:9" ht="15.75">
      <c r="A427" s="27" t="s">
        <v>189</v>
      </c>
      <c r="B427" s="43" t="s">
        <v>71</v>
      </c>
      <c r="C427" s="23" t="s">
        <v>213</v>
      </c>
      <c r="D427" s="31" t="s">
        <v>206</v>
      </c>
      <c r="E427" s="19" t="s">
        <v>334</v>
      </c>
      <c r="F427" s="31"/>
      <c r="G427" s="97" t="s">
        <v>89</v>
      </c>
      <c r="H427" s="39">
        <f>3192+610.5-1250</f>
        <v>2552.5</v>
      </c>
      <c r="I427" s="50">
        <f>3192-1250</f>
        <v>1942</v>
      </c>
    </row>
    <row r="428" spans="1:9" ht="26.25">
      <c r="A428" s="124" t="s">
        <v>262</v>
      </c>
      <c r="B428" s="43" t="s">
        <v>71</v>
      </c>
      <c r="C428" s="23" t="s">
        <v>213</v>
      </c>
      <c r="D428" s="31" t="s">
        <v>228</v>
      </c>
      <c r="E428" s="19"/>
      <c r="F428" s="31"/>
      <c r="G428" s="88"/>
      <c r="H428" s="39">
        <f aca="true" t="shared" si="30" ref="H428:I430">H429</f>
        <v>165</v>
      </c>
      <c r="I428" s="50">
        <f t="shared" si="30"/>
        <v>0</v>
      </c>
    </row>
    <row r="429" spans="1:9" ht="15.75">
      <c r="A429" s="27" t="s">
        <v>263</v>
      </c>
      <c r="B429" s="43" t="s">
        <v>71</v>
      </c>
      <c r="C429" s="23" t="s">
        <v>213</v>
      </c>
      <c r="D429" s="31" t="s">
        <v>228</v>
      </c>
      <c r="E429" s="19" t="s">
        <v>73</v>
      </c>
      <c r="F429" s="31"/>
      <c r="G429" s="60"/>
      <c r="H429" s="39">
        <f t="shared" si="30"/>
        <v>165</v>
      </c>
      <c r="I429" s="50">
        <f t="shared" si="30"/>
        <v>0</v>
      </c>
    </row>
    <row r="430" spans="1:9" ht="15.75">
      <c r="A430" s="8" t="s">
        <v>28</v>
      </c>
      <c r="B430" s="44" t="s">
        <v>71</v>
      </c>
      <c r="C430" s="19" t="s">
        <v>213</v>
      </c>
      <c r="D430" s="31" t="s">
        <v>228</v>
      </c>
      <c r="E430" s="19" t="s">
        <v>264</v>
      </c>
      <c r="F430" s="7"/>
      <c r="G430" s="52"/>
      <c r="H430" s="39">
        <f t="shared" si="30"/>
        <v>165</v>
      </c>
      <c r="I430" s="50">
        <f t="shared" si="30"/>
        <v>0</v>
      </c>
    </row>
    <row r="431" spans="1:9" ht="15.75">
      <c r="A431" s="8" t="s">
        <v>189</v>
      </c>
      <c r="B431" s="44" t="s">
        <v>71</v>
      </c>
      <c r="C431" s="19" t="s">
        <v>213</v>
      </c>
      <c r="D431" s="31" t="s">
        <v>228</v>
      </c>
      <c r="E431" s="19" t="s">
        <v>264</v>
      </c>
      <c r="F431" s="7"/>
      <c r="G431" s="52" t="s">
        <v>89</v>
      </c>
      <c r="H431" s="39">
        <v>165</v>
      </c>
      <c r="I431" s="50"/>
    </row>
    <row r="432" spans="1:9" ht="15.75">
      <c r="A432" s="115" t="s">
        <v>5</v>
      </c>
      <c r="B432" s="110" t="s">
        <v>71</v>
      </c>
      <c r="C432" s="107" t="s">
        <v>214</v>
      </c>
      <c r="D432" s="119" t="s">
        <v>133</v>
      </c>
      <c r="E432" s="107"/>
      <c r="F432" s="105"/>
      <c r="G432" s="98"/>
      <c r="H432" s="87">
        <f aca="true" t="shared" si="31" ref="H432:I435">H433</f>
        <v>3400</v>
      </c>
      <c r="I432" s="100">
        <f t="shared" si="31"/>
        <v>0</v>
      </c>
    </row>
    <row r="433" spans="1:9" ht="15.75">
      <c r="A433" s="8" t="s">
        <v>142</v>
      </c>
      <c r="B433" s="44" t="s">
        <v>71</v>
      </c>
      <c r="C433" s="19" t="s">
        <v>214</v>
      </c>
      <c r="D433" s="31" t="s">
        <v>228</v>
      </c>
      <c r="E433" s="19"/>
      <c r="F433" s="7"/>
      <c r="G433" s="52"/>
      <c r="H433" s="39">
        <f t="shared" si="31"/>
        <v>3400</v>
      </c>
      <c r="I433" s="50">
        <f t="shared" si="31"/>
        <v>0</v>
      </c>
    </row>
    <row r="434" spans="1:9" s="24" customFormat="1" ht="15.75">
      <c r="A434" s="8" t="s">
        <v>143</v>
      </c>
      <c r="B434" s="44" t="s">
        <v>71</v>
      </c>
      <c r="C434" s="19" t="s">
        <v>214</v>
      </c>
      <c r="D434" s="31" t="s">
        <v>228</v>
      </c>
      <c r="E434" s="19" t="s">
        <v>144</v>
      </c>
      <c r="F434" s="7"/>
      <c r="G434" s="52"/>
      <c r="H434" s="39">
        <f t="shared" si="31"/>
        <v>3400</v>
      </c>
      <c r="I434" s="50">
        <f t="shared" si="31"/>
        <v>0</v>
      </c>
    </row>
    <row r="435" spans="1:9" ht="26.25">
      <c r="A435" s="113" t="s">
        <v>283</v>
      </c>
      <c r="B435" s="44" t="s">
        <v>71</v>
      </c>
      <c r="C435" s="19" t="s">
        <v>214</v>
      </c>
      <c r="D435" s="31" t="s">
        <v>228</v>
      </c>
      <c r="E435" s="19" t="s">
        <v>284</v>
      </c>
      <c r="F435" s="7"/>
      <c r="G435" s="52"/>
      <c r="H435" s="39">
        <f t="shared" si="31"/>
        <v>3400</v>
      </c>
      <c r="I435" s="50">
        <f t="shared" si="31"/>
        <v>0</v>
      </c>
    </row>
    <row r="436" spans="1:9" ht="16.5" thickBot="1">
      <c r="A436" s="34" t="s">
        <v>159</v>
      </c>
      <c r="B436" s="16" t="s">
        <v>71</v>
      </c>
      <c r="C436" s="15" t="s">
        <v>214</v>
      </c>
      <c r="D436" s="10" t="s">
        <v>228</v>
      </c>
      <c r="E436" s="15" t="s">
        <v>284</v>
      </c>
      <c r="F436" s="10" t="s">
        <v>329</v>
      </c>
      <c r="G436" s="140" t="s">
        <v>89</v>
      </c>
      <c r="H436" s="42">
        <f>3000+400</f>
        <v>3400</v>
      </c>
      <c r="I436" s="101"/>
    </row>
    <row r="437" spans="1:9" ht="57" thickBot="1">
      <c r="A437" s="81" t="s">
        <v>130</v>
      </c>
      <c r="B437" s="29" t="s">
        <v>53</v>
      </c>
      <c r="C437" s="22"/>
      <c r="D437" s="13"/>
      <c r="E437" s="22"/>
      <c r="F437" s="13"/>
      <c r="G437" s="56"/>
      <c r="H437" s="40">
        <f>H438+H467+H447+H479+H453+H458+H474+H443</f>
        <v>16382.7</v>
      </c>
      <c r="I437" s="266">
        <f aca="true" t="shared" si="32" ref="H437:I441">I438</f>
        <v>0</v>
      </c>
    </row>
    <row r="438" spans="1:9" ht="15.75">
      <c r="A438" s="118" t="s">
        <v>18</v>
      </c>
      <c r="B438" s="109" t="s">
        <v>53</v>
      </c>
      <c r="C438" s="18" t="s">
        <v>206</v>
      </c>
      <c r="D438" s="33" t="s">
        <v>133</v>
      </c>
      <c r="E438" s="18"/>
      <c r="F438" s="103"/>
      <c r="G438" s="94"/>
      <c r="H438" s="91">
        <f t="shared" si="32"/>
        <v>7842.6</v>
      </c>
      <c r="I438" s="99">
        <f t="shared" si="32"/>
        <v>0</v>
      </c>
    </row>
    <row r="439" spans="1:9" ht="15.75">
      <c r="A439" s="28" t="s">
        <v>83</v>
      </c>
      <c r="B439" s="43" t="s">
        <v>53</v>
      </c>
      <c r="C439" s="23" t="s">
        <v>206</v>
      </c>
      <c r="D439" s="30" t="s">
        <v>211</v>
      </c>
      <c r="E439" s="23"/>
      <c r="F439" s="30"/>
      <c r="G439" s="97"/>
      <c r="H439" s="38">
        <f t="shared" si="32"/>
        <v>7842.6</v>
      </c>
      <c r="I439" s="86">
        <f t="shared" si="32"/>
        <v>0</v>
      </c>
    </row>
    <row r="440" spans="1:9" ht="15.75">
      <c r="A440" s="26" t="s">
        <v>19</v>
      </c>
      <c r="B440" s="44" t="s">
        <v>53</v>
      </c>
      <c r="C440" s="19" t="s">
        <v>206</v>
      </c>
      <c r="D440" s="31" t="s">
        <v>211</v>
      </c>
      <c r="E440" s="19" t="s">
        <v>327</v>
      </c>
      <c r="F440" s="31"/>
      <c r="G440" s="88"/>
      <c r="H440" s="39">
        <f t="shared" si="32"/>
        <v>7842.6</v>
      </c>
      <c r="I440" s="50">
        <f t="shared" si="32"/>
        <v>0</v>
      </c>
    </row>
    <row r="441" spans="1:9" ht="15.75">
      <c r="A441" s="8" t="s">
        <v>52</v>
      </c>
      <c r="B441" s="45" t="s">
        <v>53</v>
      </c>
      <c r="C441" s="21" t="s">
        <v>206</v>
      </c>
      <c r="D441" s="32" t="s">
        <v>211</v>
      </c>
      <c r="E441" s="21" t="s">
        <v>332</v>
      </c>
      <c r="F441" s="5"/>
      <c r="G441" s="53"/>
      <c r="H441" s="39">
        <f t="shared" si="32"/>
        <v>7842.6</v>
      </c>
      <c r="I441" s="50">
        <f t="shared" si="32"/>
        <v>0</v>
      </c>
    </row>
    <row r="442" spans="1:9" ht="15.75">
      <c r="A442" s="8" t="s">
        <v>159</v>
      </c>
      <c r="B442" s="44" t="s">
        <v>53</v>
      </c>
      <c r="C442" s="19" t="s">
        <v>206</v>
      </c>
      <c r="D442" s="31" t="s">
        <v>211</v>
      </c>
      <c r="E442" s="19" t="s">
        <v>332</v>
      </c>
      <c r="F442" s="7"/>
      <c r="G442" s="52" t="s">
        <v>329</v>
      </c>
      <c r="H442" s="39">
        <f>5850.8+948+1543.8-500</f>
        <v>7842.6</v>
      </c>
      <c r="I442" s="51"/>
    </row>
    <row r="443" spans="1:9" s="24" customFormat="1" ht="15.75">
      <c r="A443" s="347" t="s">
        <v>122</v>
      </c>
      <c r="B443" s="110" t="s">
        <v>53</v>
      </c>
      <c r="C443" s="107" t="s">
        <v>212</v>
      </c>
      <c r="D443" s="119" t="s">
        <v>133</v>
      </c>
      <c r="E443" s="107"/>
      <c r="F443" s="105"/>
      <c r="G443" s="98"/>
      <c r="H443" s="87">
        <f>H444</f>
        <v>108</v>
      </c>
      <c r="I443" s="267"/>
    </row>
    <row r="444" spans="1:9" ht="26.25">
      <c r="A444" s="113" t="s">
        <v>113</v>
      </c>
      <c r="B444" s="44" t="s">
        <v>53</v>
      </c>
      <c r="C444" s="19" t="s">
        <v>212</v>
      </c>
      <c r="D444" s="31" t="s">
        <v>211</v>
      </c>
      <c r="E444" s="19"/>
      <c r="F444" s="7"/>
      <c r="G444" s="52"/>
      <c r="H444" s="39">
        <f>H445</f>
        <v>108</v>
      </c>
      <c r="I444" s="51"/>
    </row>
    <row r="445" spans="1:9" ht="26.25">
      <c r="A445" s="48" t="s">
        <v>114</v>
      </c>
      <c r="B445" s="44" t="s">
        <v>53</v>
      </c>
      <c r="C445" s="19" t="s">
        <v>212</v>
      </c>
      <c r="D445" s="31" t="s">
        <v>211</v>
      </c>
      <c r="E445" s="19" t="s">
        <v>87</v>
      </c>
      <c r="F445" s="7"/>
      <c r="G445" s="52"/>
      <c r="H445" s="39">
        <f>H446</f>
        <v>108</v>
      </c>
      <c r="I445" s="51"/>
    </row>
    <row r="446" spans="1:9" ht="15.75">
      <c r="A446" s="71" t="s">
        <v>159</v>
      </c>
      <c r="B446" s="44" t="s">
        <v>53</v>
      </c>
      <c r="C446" s="19" t="s">
        <v>212</v>
      </c>
      <c r="D446" s="31" t="s">
        <v>211</v>
      </c>
      <c r="E446" s="19" t="s">
        <v>87</v>
      </c>
      <c r="F446" s="7"/>
      <c r="G446" s="52" t="s">
        <v>329</v>
      </c>
      <c r="H446" s="39">
        <v>108</v>
      </c>
      <c r="I446" s="51"/>
    </row>
    <row r="447" spans="1:9" ht="15.75">
      <c r="A447" s="125" t="s">
        <v>24</v>
      </c>
      <c r="B447" s="110" t="s">
        <v>53</v>
      </c>
      <c r="C447" s="107" t="s">
        <v>221</v>
      </c>
      <c r="D447" s="119" t="s">
        <v>133</v>
      </c>
      <c r="E447" s="107"/>
      <c r="F447" s="105"/>
      <c r="G447" s="98"/>
      <c r="H447" s="39">
        <f>H448</f>
        <v>5205</v>
      </c>
      <c r="I447" s="51"/>
    </row>
    <row r="448" spans="1:9" ht="15.75">
      <c r="A448" s="120" t="s">
        <v>146</v>
      </c>
      <c r="B448" s="110" t="s">
        <v>53</v>
      </c>
      <c r="C448" s="107" t="s">
        <v>221</v>
      </c>
      <c r="D448" s="119" t="s">
        <v>212</v>
      </c>
      <c r="E448" s="107"/>
      <c r="F448" s="119"/>
      <c r="G448" s="142"/>
      <c r="H448" s="39">
        <f>H451+H449</f>
        <v>5205</v>
      </c>
      <c r="I448" s="51"/>
    </row>
    <row r="449" spans="1:9" ht="15.75">
      <c r="A449" s="8" t="s">
        <v>237</v>
      </c>
      <c r="B449" s="44" t="s">
        <v>53</v>
      </c>
      <c r="C449" s="19" t="s">
        <v>221</v>
      </c>
      <c r="D449" s="31" t="s">
        <v>212</v>
      </c>
      <c r="E449" s="21" t="s">
        <v>239</v>
      </c>
      <c r="F449" s="7"/>
      <c r="G449" s="52"/>
      <c r="H449" s="39">
        <f>H450</f>
        <v>101.4</v>
      </c>
      <c r="I449" s="51"/>
    </row>
    <row r="450" spans="1:9" ht="15.75">
      <c r="A450" s="26" t="s">
        <v>201</v>
      </c>
      <c r="B450" s="44" t="s">
        <v>53</v>
      </c>
      <c r="C450" s="19" t="s">
        <v>221</v>
      </c>
      <c r="D450" s="31" t="s">
        <v>212</v>
      </c>
      <c r="E450" s="21" t="s">
        <v>239</v>
      </c>
      <c r="F450" s="7"/>
      <c r="G450" s="52" t="s">
        <v>90</v>
      </c>
      <c r="H450" s="39">
        <v>101.4</v>
      </c>
      <c r="I450" s="51"/>
    </row>
    <row r="451" spans="1:9" ht="15.75">
      <c r="A451" s="8" t="s">
        <v>243</v>
      </c>
      <c r="B451" s="44" t="s">
        <v>53</v>
      </c>
      <c r="C451" s="19" t="s">
        <v>221</v>
      </c>
      <c r="D451" s="31" t="s">
        <v>212</v>
      </c>
      <c r="E451" s="21" t="s">
        <v>242</v>
      </c>
      <c r="F451" s="7"/>
      <c r="G451" s="58"/>
      <c r="H451" s="39">
        <f>H452</f>
        <v>5103.6</v>
      </c>
      <c r="I451" s="51"/>
    </row>
    <row r="452" spans="1:9" ht="15.75">
      <c r="A452" s="26" t="s">
        <v>201</v>
      </c>
      <c r="B452" s="44" t="s">
        <v>53</v>
      </c>
      <c r="C452" s="19" t="s">
        <v>221</v>
      </c>
      <c r="D452" s="31" t="s">
        <v>212</v>
      </c>
      <c r="E452" s="19" t="s">
        <v>242</v>
      </c>
      <c r="F452" s="7"/>
      <c r="G452" s="52" t="s">
        <v>90</v>
      </c>
      <c r="H452" s="39">
        <f>4947+445+19-307.4</f>
        <v>5103.6</v>
      </c>
      <c r="I452" s="51"/>
    </row>
    <row r="453" spans="1:9" ht="15.75">
      <c r="A453" s="247" t="s">
        <v>45</v>
      </c>
      <c r="B453" s="242" t="s">
        <v>53</v>
      </c>
      <c r="C453" s="146" t="s">
        <v>228</v>
      </c>
      <c r="D453" s="33" t="s">
        <v>133</v>
      </c>
      <c r="E453" s="18"/>
      <c r="F453" s="103"/>
      <c r="G453" s="94"/>
      <c r="H453" s="91">
        <f>H454</f>
        <v>2080</v>
      </c>
      <c r="I453" s="102"/>
    </row>
    <row r="454" spans="1:9" ht="15.75">
      <c r="A454" s="28" t="s">
        <v>46</v>
      </c>
      <c r="B454" s="43" t="s">
        <v>53</v>
      </c>
      <c r="C454" s="23" t="s">
        <v>228</v>
      </c>
      <c r="D454" s="30" t="s">
        <v>221</v>
      </c>
      <c r="E454" s="23"/>
      <c r="F454" s="30"/>
      <c r="G454" s="97"/>
      <c r="H454" s="38">
        <f>H455</f>
        <v>2080</v>
      </c>
      <c r="I454" s="85"/>
    </row>
    <row r="455" spans="1:9" s="24" customFormat="1" ht="15.75">
      <c r="A455" s="8" t="s">
        <v>143</v>
      </c>
      <c r="B455" s="44" t="s">
        <v>53</v>
      </c>
      <c r="C455" s="19" t="s">
        <v>228</v>
      </c>
      <c r="D455" s="31" t="s">
        <v>221</v>
      </c>
      <c r="E455" s="19" t="s">
        <v>144</v>
      </c>
      <c r="F455" s="31"/>
      <c r="G455" s="88"/>
      <c r="H455" s="38">
        <f>H456</f>
        <v>2080</v>
      </c>
      <c r="I455" s="85"/>
    </row>
    <row r="456" spans="1:9" ht="26.25">
      <c r="A456" s="113" t="s">
        <v>308</v>
      </c>
      <c r="B456" s="45" t="s">
        <v>53</v>
      </c>
      <c r="C456" s="21" t="s">
        <v>228</v>
      </c>
      <c r="D456" s="32" t="s">
        <v>221</v>
      </c>
      <c r="E456" s="21" t="s">
        <v>309</v>
      </c>
      <c r="F456" s="32"/>
      <c r="G456" s="90"/>
      <c r="H456" s="38">
        <f>H457</f>
        <v>2080</v>
      </c>
      <c r="I456" s="85"/>
    </row>
    <row r="457" spans="1:9" ht="15.75">
      <c r="A457" s="28" t="s">
        <v>159</v>
      </c>
      <c r="B457" s="45" t="s">
        <v>53</v>
      </c>
      <c r="C457" s="19" t="s">
        <v>228</v>
      </c>
      <c r="D457" s="31" t="s">
        <v>221</v>
      </c>
      <c r="E457" s="19" t="s">
        <v>309</v>
      </c>
      <c r="F457" s="32"/>
      <c r="G457" s="52" t="s">
        <v>329</v>
      </c>
      <c r="H457" s="38">
        <v>2080</v>
      </c>
      <c r="I457" s="85"/>
    </row>
    <row r="458" spans="1:9" ht="15.75">
      <c r="A458" s="118" t="s">
        <v>6</v>
      </c>
      <c r="B458" s="14" t="s">
        <v>53</v>
      </c>
      <c r="C458" s="18" t="s">
        <v>215</v>
      </c>
      <c r="D458" s="33" t="s">
        <v>133</v>
      </c>
      <c r="E458" s="18"/>
      <c r="F458" s="46"/>
      <c r="G458" s="129"/>
      <c r="H458" s="91">
        <f>H463+H459</f>
        <v>217</v>
      </c>
      <c r="I458" s="102"/>
    </row>
    <row r="459" spans="1:9" ht="15.75">
      <c r="A459" s="118" t="s">
        <v>7</v>
      </c>
      <c r="B459" s="109" t="s">
        <v>64</v>
      </c>
      <c r="C459" s="18" t="s">
        <v>215</v>
      </c>
      <c r="D459" s="33" t="s">
        <v>206</v>
      </c>
      <c r="E459" s="18"/>
      <c r="F459" s="33"/>
      <c r="G459" s="129"/>
      <c r="H459" s="91">
        <f>H460</f>
        <v>25</v>
      </c>
      <c r="I459" s="102"/>
    </row>
    <row r="460" spans="1:9" s="24" customFormat="1" ht="15.75">
      <c r="A460" s="26" t="s">
        <v>8</v>
      </c>
      <c r="B460" s="44" t="s">
        <v>53</v>
      </c>
      <c r="C460" s="19" t="s">
        <v>215</v>
      </c>
      <c r="D460" s="31" t="s">
        <v>206</v>
      </c>
      <c r="E460" s="19" t="s">
        <v>27</v>
      </c>
      <c r="F460" s="31"/>
      <c r="G460" s="88"/>
      <c r="H460" s="38">
        <f>H461</f>
        <v>25</v>
      </c>
      <c r="I460" s="102"/>
    </row>
    <row r="461" spans="1:9" s="24" customFormat="1" ht="15.75">
      <c r="A461" s="27" t="s">
        <v>28</v>
      </c>
      <c r="B461" s="44" t="s">
        <v>53</v>
      </c>
      <c r="C461" s="19" t="s">
        <v>215</v>
      </c>
      <c r="D461" s="31" t="s">
        <v>206</v>
      </c>
      <c r="E461" s="19" t="s">
        <v>233</v>
      </c>
      <c r="F461" s="31"/>
      <c r="G461" s="58"/>
      <c r="H461" s="38">
        <f>H462</f>
        <v>25</v>
      </c>
      <c r="I461" s="102"/>
    </row>
    <row r="462" spans="1:9" s="24" customFormat="1" ht="15.75">
      <c r="A462" s="8" t="s">
        <v>189</v>
      </c>
      <c r="B462" s="354" t="s">
        <v>53</v>
      </c>
      <c r="C462" s="307" t="s">
        <v>215</v>
      </c>
      <c r="D462" s="307" t="s">
        <v>206</v>
      </c>
      <c r="E462" s="324" t="s">
        <v>233</v>
      </c>
      <c r="F462" s="31"/>
      <c r="G462" s="130" t="s">
        <v>89</v>
      </c>
      <c r="H462" s="38">
        <v>25</v>
      </c>
      <c r="I462" s="102"/>
    </row>
    <row r="463" spans="1:9" s="24" customFormat="1" ht="15.75">
      <c r="A463" s="28" t="s">
        <v>9</v>
      </c>
      <c r="B463" s="16" t="s">
        <v>53</v>
      </c>
      <c r="C463" s="23" t="s">
        <v>215</v>
      </c>
      <c r="D463" s="30" t="s">
        <v>207</v>
      </c>
      <c r="E463" s="23"/>
      <c r="F463" s="10"/>
      <c r="G463" s="130"/>
      <c r="H463" s="38">
        <f>H464</f>
        <v>192</v>
      </c>
      <c r="I463" s="85"/>
    </row>
    <row r="464" spans="1:9" s="24" customFormat="1" ht="15.75">
      <c r="A464" s="28" t="s">
        <v>116</v>
      </c>
      <c r="B464" s="16" t="s">
        <v>53</v>
      </c>
      <c r="C464" s="23" t="s">
        <v>215</v>
      </c>
      <c r="D464" s="30" t="s">
        <v>207</v>
      </c>
      <c r="E464" s="23" t="s">
        <v>29</v>
      </c>
      <c r="F464" s="10"/>
      <c r="G464" s="130"/>
      <c r="H464" s="38">
        <f>H465</f>
        <v>192</v>
      </c>
      <c r="I464" s="85"/>
    </row>
    <row r="465" spans="1:9" ht="15.75">
      <c r="A465" s="28" t="s">
        <v>28</v>
      </c>
      <c r="B465" s="16" t="s">
        <v>53</v>
      </c>
      <c r="C465" s="23" t="s">
        <v>215</v>
      </c>
      <c r="D465" s="30" t="s">
        <v>207</v>
      </c>
      <c r="E465" s="23" t="s">
        <v>234</v>
      </c>
      <c r="F465" s="10"/>
      <c r="G465" s="130"/>
      <c r="H465" s="38">
        <f>H466</f>
        <v>192</v>
      </c>
      <c r="I465" s="85"/>
    </row>
    <row r="466" spans="1:9" ht="15.75">
      <c r="A466" s="28" t="s">
        <v>189</v>
      </c>
      <c r="B466" s="16" t="s">
        <v>53</v>
      </c>
      <c r="C466" s="23" t="s">
        <v>215</v>
      </c>
      <c r="D466" s="30" t="s">
        <v>207</v>
      </c>
      <c r="E466" s="23" t="s">
        <v>234</v>
      </c>
      <c r="F466" s="10" t="s">
        <v>89</v>
      </c>
      <c r="G466" s="130" t="s">
        <v>89</v>
      </c>
      <c r="H466" s="38">
        <f>46+146</f>
        <v>192</v>
      </c>
      <c r="I466" s="85"/>
    </row>
    <row r="467" spans="1:9" ht="15.75">
      <c r="A467" s="118" t="s">
        <v>35</v>
      </c>
      <c r="B467" s="109" t="s">
        <v>53</v>
      </c>
      <c r="C467" s="18" t="s">
        <v>216</v>
      </c>
      <c r="D467" s="33" t="s">
        <v>206</v>
      </c>
      <c r="E467" s="18"/>
      <c r="F467" s="33"/>
      <c r="G467" s="134"/>
      <c r="H467" s="91">
        <f>H471+H468</f>
        <v>830.1</v>
      </c>
      <c r="I467" s="102"/>
    </row>
    <row r="468" spans="1:9" ht="26.25">
      <c r="A468" s="48" t="s">
        <v>126</v>
      </c>
      <c r="B468" s="44" t="s">
        <v>53</v>
      </c>
      <c r="C468" s="23" t="s">
        <v>216</v>
      </c>
      <c r="D468" s="30" t="s">
        <v>206</v>
      </c>
      <c r="E468" s="19" t="s">
        <v>36</v>
      </c>
      <c r="F468" s="31"/>
      <c r="G468" s="88"/>
      <c r="H468" s="38">
        <f>H469</f>
        <v>100</v>
      </c>
      <c r="I468" s="85"/>
    </row>
    <row r="469" spans="1:9" s="24" customFormat="1" ht="15.75">
      <c r="A469" s="27" t="s">
        <v>28</v>
      </c>
      <c r="B469" s="44" t="s">
        <v>53</v>
      </c>
      <c r="C469" s="23" t="s">
        <v>216</v>
      </c>
      <c r="D469" s="30" t="s">
        <v>206</v>
      </c>
      <c r="E469" s="19" t="s">
        <v>254</v>
      </c>
      <c r="F469" s="31"/>
      <c r="G469" s="117"/>
      <c r="H469" s="38">
        <f>H470</f>
        <v>100</v>
      </c>
      <c r="I469" s="85"/>
    </row>
    <row r="470" spans="1:9" ht="15.75">
      <c r="A470" s="8" t="s">
        <v>189</v>
      </c>
      <c r="B470" s="44" t="s">
        <v>53</v>
      </c>
      <c r="C470" s="23" t="s">
        <v>216</v>
      </c>
      <c r="D470" s="30" t="s">
        <v>206</v>
      </c>
      <c r="E470" s="19" t="s">
        <v>254</v>
      </c>
      <c r="F470" s="31"/>
      <c r="G470" s="88" t="s">
        <v>89</v>
      </c>
      <c r="H470" s="38">
        <f>165-65</f>
        <v>100</v>
      </c>
      <c r="I470" s="85"/>
    </row>
    <row r="471" spans="1:9" ht="26.25">
      <c r="A471" s="48" t="s">
        <v>106</v>
      </c>
      <c r="B471" s="44" t="s">
        <v>53</v>
      </c>
      <c r="C471" s="23" t="s">
        <v>216</v>
      </c>
      <c r="D471" s="30" t="s">
        <v>206</v>
      </c>
      <c r="E471" s="19" t="s">
        <v>40</v>
      </c>
      <c r="F471" s="31"/>
      <c r="G471" s="88"/>
      <c r="H471" s="39">
        <f>H472</f>
        <v>730.1</v>
      </c>
      <c r="I471" s="51"/>
    </row>
    <row r="472" spans="1:9" ht="26.25">
      <c r="A472" s="47" t="s">
        <v>107</v>
      </c>
      <c r="B472" s="44" t="s">
        <v>53</v>
      </c>
      <c r="C472" s="23" t="s">
        <v>216</v>
      </c>
      <c r="D472" s="30" t="s">
        <v>206</v>
      </c>
      <c r="E472" s="19" t="s">
        <v>258</v>
      </c>
      <c r="F472" s="31"/>
      <c r="G472" s="117"/>
      <c r="H472" s="39">
        <f>H473</f>
        <v>730.1</v>
      </c>
      <c r="I472" s="51"/>
    </row>
    <row r="473" spans="1:9" ht="15.75">
      <c r="A473" s="8" t="s">
        <v>189</v>
      </c>
      <c r="B473" s="44" t="s">
        <v>53</v>
      </c>
      <c r="C473" s="19" t="s">
        <v>216</v>
      </c>
      <c r="D473" s="31" t="s">
        <v>206</v>
      </c>
      <c r="E473" s="19" t="s">
        <v>258</v>
      </c>
      <c r="F473" s="31"/>
      <c r="G473" s="88" t="s">
        <v>89</v>
      </c>
      <c r="H473" s="39">
        <f>80.1+500+100+50</f>
        <v>730.1</v>
      </c>
      <c r="I473" s="51"/>
    </row>
    <row r="474" spans="1:9" ht="15.75">
      <c r="A474" s="118" t="s">
        <v>288</v>
      </c>
      <c r="B474" s="109" t="s">
        <v>53</v>
      </c>
      <c r="C474" s="18" t="s">
        <v>213</v>
      </c>
      <c r="D474" s="33" t="s">
        <v>133</v>
      </c>
      <c r="E474" s="18"/>
      <c r="F474" s="103"/>
      <c r="G474" s="94"/>
      <c r="H474" s="38">
        <f>H475</f>
        <v>10</v>
      </c>
      <c r="I474" s="85"/>
    </row>
    <row r="475" spans="1:9" ht="15.75">
      <c r="A475" s="118" t="s">
        <v>260</v>
      </c>
      <c r="B475" s="43" t="s">
        <v>53</v>
      </c>
      <c r="C475" s="23" t="s">
        <v>213</v>
      </c>
      <c r="D475" s="30" t="s">
        <v>206</v>
      </c>
      <c r="E475" s="18"/>
      <c r="F475" s="33"/>
      <c r="G475" s="129"/>
      <c r="H475" s="39">
        <f>H476</f>
        <v>10</v>
      </c>
      <c r="I475" s="51"/>
    </row>
    <row r="476" spans="1:9" ht="15.75">
      <c r="A476" s="26" t="s">
        <v>42</v>
      </c>
      <c r="B476" s="43" t="s">
        <v>53</v>
      </c>
      <c r="C476" s="23" t="s">
        <v>213</v>
      </c>
      <c r="D476" s="31" t="s">
        <v>206</v>
      </c>
      <c r="E476" s="19" t="s">
        <v>43</v>
      </c>
      <c r="F476" s="31"/>
      <c r="G476" s="88"/>
      <c r="H476" s="39">
        <f>H477</f>
        <v>10</v>
      </c>
      <c r="I476" s="51"/>
    </row>
    <row r="477" spans="1:9" ht="15.75">
      <c r="A477" s="27" t="s">
        <v>28</v>
      </c>
      <c r="B477" s="43" t="s">
        <v>53</v>
      </c>
      <c r="C477" s="23" t="s">
        <v>213</v>
      </c>
      <c r="D477" s="31" t="s">
        <v>206</v>
      </c>
      <c r="E477" s="19" t="s">
        <v>261</v>
      </c>
      <c r="F477" s="31"/>
      <c r="G477" s="97"/>
      <c r="H477" s="39">
        <f>H478</f>
        <v>10</v>
      </c>
      <c r="I477" s="51"/>
    </row>
    <row r="478" spans="1:9" ht="15.75">
      <c r="A478" s="27" t="s">
        <v>189</v>
      </c>
      <c r="B478" s="43" t="s">
        <v>53</v>
      </c>
      <c r="C478" s="23" t="s">
        <v>213</v>
      </c>
      <c r="D478" s="31" t="s">
        <v>206</v>
      </c>
      <c r="E478" s="19" t="s">
        <v>261</v>
      </c>
      <c r="F478" s="31"/>
      <c r="G478" s="97" t="s">
        <v>89</v>
      </c>
      <c r="H478" s="39">
        <v>10</v>
      </c>
      <c r="I478" s="51"/>
    </row>
    <row r="479" spans="1:9" ht="15.75">
      <c r="A479" s="125" t="s">
        <v>5</v>
      </c>
      <c r="B479" s="110" t="s">
        <v>53</v>
      </c>
      <c r="C479" s="107" t="s">
        <v>214</v>
      </c>
      <c r="D479" s="119" t="s">
        <v>133</v>
      </c>
      <c r="E479" s="107"/>
      <c r="F479" s="105"/>
      <c r="G479" s="98"/>
      <c r="H479" s="39">
        <f>H480</f>
        <v>90</v>
      </c>
      <c r="I479" s="51"/>
    </row>
    <row r="480" spans="1:9" ht="15.75">
      <c r="A480" s="26" t="s">
        <v>101</v>
      </c>
      <c r="B480" s="44" t="s">
        <v>53</v>
      </c>
      <c r="C480" s="23" t="s">
        <v>214</v>
      </c>
      <c r="D480" s="31" t="s">
        <v>212</v>
      </c>
      <c r="E480" s="19"/>
      <c r="F480" s="10"/>
      <c r="G480" s="140"/>
      <c r="H480" s="39">
        <f>H481</f>
        <v>90</v>
      </c>
      <c r="I480" s="51"/>
    </row>
    <row r="481" spans="1:9" ht="15.75">
      <c r="A481" s="26" t="s">
        <v>273</v>
      </c>
      <c r="B481" s="44" t="s">
        <v>53</v>
      </c>
      <c r="C481" s="23" t="s">
        <v>214</v>
      </c>
      <c r="D481" s="31" t="s">
        <v>212</v>
      </c>
      <c r="E481" s="19" t="s">
        <v>93</v>
      </c>
      <c r="F481" s="31"/>
      <c r="G481" s="88"/>
      <c r="H481" s="39">
        <f>H482</f>
        <v>90</v>
      </c>
      <c r="I481" s="51"/>
    </row>
    <row r="482" spans="1:9" ht="15.75">
      <c r="A482" s="26" t="s">
        <v>274</v>
      </c>
      <c r="B482" s="44" t="s">
        <v>53</v>
      </c>
      <c r="C482" s="23" t="s">
        <v>214</v>
      </c>
      <c r="D482" s="31" t="s">
        <v>212</v>
      </c>
      <c r="E482" s="19" t="s">
        <v>275</v>
      </c>
      <c r="F482" s="31" t="s">
        <v>94</v>
      </c>
      <c r="G482" s="58"/>
      <c r="H482" s="39">
        <f>H483</f>
        <v>90</v>
      </c>
      <c r="I482" s="51"/>
    </row>
    <row r="483" spans="1:9" ht="26.25">
      <c r="A483" s="113" t="s">
        <v>276</v>
      </c>
      <c r="B483" s="44" t="s">
        <v>53</v>
      </c>
      <c r="C483" s="23" t="s">
        <v>214</v>
      </c>
      <c r="D483" s="31" t="s">
        <v>212</v>
      </c>
      <c r="E483" s="19" t="s">
        <v>277</v>
      </c>
      <c r="F483" s="7"/>
      <c r="G483" s="58"/>
      <c r="H483" s="39">
        <f>H484</f>
        <v>90</v>
      </c>
      <c r="I483" s="51"/>
    </row>
    <row r="484" spans="1:9" ht="16.5" thickBot="1">
      <c r="A484" s="47" t="s">
        <v>305</v>
      </c>
      <c r="B484" s="45" t="s">
        <v>53</v>
      </c>
      <c r="C484" s="15" t="s">
        <v>214</v>
      </c>
      <c r="D484" s="32" t="s">
        <v>212</v>
      </c>
      <c r="E484" s="21" t="s">
        <v>277</v>
      </c>
      <c r="F484" s="5"/>
      <c r="G484" s="332" t="s">
        <v>53</v>
      </c>
      <c r="H484" s="37">
        <v>90</v>
      </c>
      <c r="I484" s="54"/>
    </row>
    <row r="485" spans="1:9" ht="38.25" thickBot="1">
      <c r="A485" s="81" t="s">
        <v>127</v>
      </c>
      <c r="B485" s="29" t="s">
        <v>90</v>
      </c>
      <c r="C485" s="22"/>
      <c r="D485" s="13"/>
      <c r="E485" s="22"/>
      <c r="F485" s="13"/>
      <c r="G485" s="56"/>
      <c r="H485" s="40">
        <f>H486+H501</f>
        <v>28306.6</v>
      </c>
      <c r="I485" s="266">
        <f>I486+I501</f>
        <v>0</v>
      </c>
    </row>
    <row r="486" spans="1:9" ht="15.75">
      <c r="A486" s="118" t="s">
        <v>6</v>
      </c>
      <c r="B486" s="109" t="s">
        <v>90</v>
      </c>
      <c r="C486" s="18" t="s">
        <v>215</v>
      </c>
      <c r="D486" s="33" t="s">
        <v>133</v>
      </c>
      <c r="E486" s="18"/>
      <c r="F486" s="103"/>
      <c r="G486" s="94"/>
      <c r="H486" s="38">
        <f>H487+H491</f>
        <v>6956</v>
      </c>
      <c r="I486" s="86">
        <f>I487+I491</f>
        <v>0</v>
      </c>
    </row>
    <row r="487" spans="1:9" ht="15.75">
      <c r="A487" s="8" t="s">
        <v>9</v>
      </c>
      <c r="B487" s="43" t="s">
        <v>90</v>
      </c>
      <c r="C487" s="19" t="s">
        <v>215</v>
      </c>
      <c r="D487" s="30" t="s">
        <v>207</v>
      </c>
      <c r="E487" s="23"/>
      <c r="F487" s="30"/>
      <c r="G487" s="97"/>
      <c r="H487" s="91">
        <f aca="true" t="shared" si="33" ref="H487:I489">H488</f>
        <v>1802</v>
      </c>
      <c r="I487" s="99">
        <f t="shared" si="33"/>
        <v>0</v>
      </c>
    </row>
    <row r="488" spans="1:9" ht="15.75">
      <c r="A488" s="34" t="s">
        <v>32</v>
      </c>
      <c r="B488" s="16" t="s">
        <v>90</v>
      </c>
      <c r="C488" s="19" t="s">
        <v>215</v>
      </c>
      <c r="D488" s="30" t="s">
        <v>207</v>
      </c>
      <c r="E488" s="15" t="s">
        <v>33</v>
      </c>
      <c r="F488" s="10"/>
      <c r="G488" s="88"/>
      <c r="H488" s="38">
        <f t="shared" si="33"/>
        <v>1802</v>
      </c>
      <c r="I488" s="86">
        <f t="shared" si="33"/>
        <v>0</v>
      </c>
    </row>
    <row r="489" spans="1:9" ht="15.75">
      <c r="A489" s="27" t="s">
        <v>28</v>
      </c>
      <c r="B489" s="45" t="s">
        <v>90</v>
      </c>
      <c r="C489" s="19" t="s">
        <v>215</v>
      </c>
      <c r="D489" s="30" t="s">
        <v>207</v>
      </c>
      <c r="E489" s="21" t="s">
        <v>235</v>
      </c>
      <c r="F489" s="10"/>
      <c r="G489" s="59"/>
      <c r="H489" s="39">
        <f t="shared" si="33"/>
        <v>1802</v>
      </c>
      <c r="I489" s="50">
        <f t="shared" si="33"/>
        <v>0</v>
      </c>
    </row>
    <row r="490" spans="1:9" ht="15.75">
      <c r="A490" s="8" t="s">
        <v>189</v>
      </c>
      <c r="B490" s="45" t="s">
        <v>90</v>
      </c>
      <c r="C490" s="19" t="s">
        <v>215</v>
      </c>
      <c r="D490" s="30" t="s">
        <v>207</v>
      </c>
      <c r="E490" s="21" t="s">
        <v>235</v>
      </c>
      <c r="F490" s="10"/>
      <c r="G490" s="88" t="s">
        <v>89</v>
      </c>
      <c r="H490" s="39">
        <f>1107+450+150+90+5</f>
        <v>1802</v>
      </c>
      <c r="I490" s="51"/>
    </row>
    <row r="491" spans="1:9" ht="15.75">
      <c r="A491" s="26" t="s">
        <v>30</v>
      </c>
      <c r="B491" s="44" t="s">
        <v>90</v>
      </c>
      <c r="C491" s="23" t="s">
        <v>215</v>
      </c>
      <c r="D491" s="31" t="s">
        <v>215</v>
      </c>
      <c r="E491" s="19"/>
      <c r="F491" s="31"/>
      <c r="G491" s="88"/>
      <c r="H491" s="39">
        <f>H492+H495+H498</f>
        <v>5154</v>
      </c>
      <c r="I491" s="50">
        <f>I492+I495+I498</f>
        <v>0</v>
      </c>
    </row>
    <row r="492" spans="1:9" ht="15.75">
      <c r="A492" s="26" t="s">
        <v>95</v>
      </c>
      <c r="B492" s="44" t="s">
        <v>90</v>
      </c>
      <c r="C492" s="23" t="s">
        <v>215</v>
      </c>
      <c r="D492" s="31" t="s">
        <v>215</v>
      </c>
      <c r="E492" s="19" t="s">
        <v>96</v>
      </c>
      <c r="F492" s="31"/>
      <c r="G492" s="88"/>
      <c r="H492" s="39">
        <f>H493</f>
        <v>2769</v>
      </c>
      <c r="I492" s="50">
        <f>I493</f>
        <v>0</v>
      </c>
    </row>
    <row r="493" spans="1:9" ht="15.75">
      <c r="A493" s="27" t="s">
        <v>97</v>
      </c>
      <c r="B493" s="44" t="s">
        <v>90</v>
      </c>
      <c r="C493" s="23" t="s">
        <v>215</v>
      </c>
      <c r="D493" s="31" t="s">
        <v>215</v>
      </c>
      <c r="E493" s="19" t="s">
        <v>245</v>
      </c>
      <c r="F493" s="31"/>
      <c r="G493" s="117"/>
      <c r="H493" s="39">
        <f>H494</f>
        <v>2769</v>
      </c>
      <c r="I493" s="50">
        <f>I494</f>
        <v>0</v>
      </c>
    </row>
    <row r="494" spans="1:9" ht="15.75">
      <c r="A494" s="8" t="s">
        <v>189</v>
      </c>
      <c r="B494" s="44" t="s">
        <v>90</v>
      </c>
      <c r="C494" s="23" t="s">
        <v>215</v>
      </c>
      <c r="D494" s="31" t="s">
        <v>215</v>
      </c>
      <c r="E494" s="19" t="s">
        <v>245</v>
      </c>
      <c r="F494" s="31" t="s">
        <v>15</v>
      </c>
      <c r="G494" s="88" t="s">
        <v>89</v>
      </c>
      <c r="H494" s="39">
        <f>4454-736.1-948.9</f>
        <v>2769</v>
      </c>
      <c r="I494" s="51"/>
    </row>
    <row r="495" spans="1:9" ht="15.75">
      <c r="A495" s="48" t="s">
        <v>246</v>
      </c>
      <c r="B495" s="45" t="s">
        <v>90</v>
      </c>
      <c r="C495" s="23" t="s">
        <v>215</v>
      </c>
      <c r="D495" s="32" t="s">
        <v>215</v>
      </c>
      <c r="E495" s="21" t="s">
        <v>31</v>
      </c>
      <c r="F495" s="10"/>
      <c r="G495" s="88"/>
      <c r="H495" s="39">
        <f>H496</f>
        <v>700</v>
      </c>
      <c r="I495" s="50">
        <f>I496</f>
        <v>0</v>
      </c>
    </row>
    <row r="496" spans="1:9" ht="15.75">
      <c r="A496" s="27" t="s">
        <v>292</v>
      </c>
      <c r="B496" s="45" t="s">
        <v>90</v>
      </c>
      <c r="C496" s="23" t="s">
        <v>215</v>
      </c>
      <c r="D496" s="32" t="s">
        <v>215</v>
      </c>
      <c r="E496" s="21" t="s">
        <v>248</v>
      </c>
      <c r="F496" s="10"/>
      <c r="G496" s="58"/>
      <c r="H496" s="39">
        <f>H497</f>
        <v>700</v>
      </c>
      <c r="I496" s="50">
        <f>I497</f>
        <v>0</v>
      </c>
    </row>
    <row r="497" spans="1:9" ht="15.75">
      <c r="A497" s="8" t="s">
        <v>189</v>
      </c>
      <c r="B497" s="45" t="s">
        <v>90</v>
      </c>
      <c r="C497" s="23" t="s">
        <v>215</v>
      </c>
      <c r="D497" s="32" t="s">
        <v>215</v>
      </c>
      <c r="E497" s="21" t="s">
        <v>248</v>
      </c>
      <c r="F497" s="10"/>
      <c r="G497" s="88" t="s">
        <v>89</v>
      </c>
      <c r="H497" s="39">
        <v>700</v>
      </c>
      <c r="I497" s="51"/>
    </row>
    <row r="498" spans="1:9" ht="15.75">
      <c r="A498" s="26" t="s">
        <v>143</v>
      </c>
      <c r="B498" s="45" t="s">
        <v>90</v>
      </c>
      <c r="C498" s="23" t="s">
        <v>215</v>
      </c>
      <c r="D498" s="32" t="s">
        <v>215</v>
      </c>
      <c r="E498" s="21" t="s">
        <v>144</v>
      </c>
      <c r="F498" s="10"/>
      <c r="G498" s="117"/>
      <c r="H498" s="39">
        <f>H499</f>
        <v>1685</v>
      </c>
      <c r="I498" s="50">
        <f>I499</f>
        <v>0</v>
      </c>
    </row>
    <row r="499" spans="1:9" ht="26.25">
      <c r="A499" s="113" t="s">
        <v>293</v>
      </c>
      <c r="B499" s="45" t="s">
        <v>90</v>
      </c>
      <c r="C499" s="23" t="s">
        <v>215</v>
      </c>
      <c r="D499" s="32" t="s">
        <v>215</v>
      </c>
      <c r="E499" s="21" t="s">
        <v>294</v>
      </c>
      <c r="F499" s="10"/>
      <c r="G499" s="117"/>
      <c r="H499" s="39">
        <f>H500</f>
        <v>1685</v>
      </c>
      <c r="I499" s="50">
        <f>I500</f>
        <v>0</v>
      </c>
    </row>
    <row r="500" spans="1:9" ht="15.75">
      <c r="A500" s="8" t="s">
        <v>189</v>
      </c>
      <c r="B500" s="45" t="s">
        <v>90</v>
      </c>
      <c r="C500" s="23" t="s">
        <v>215</v>
      </c>
      <c r="D500" s="32" t="s">
        <v>215</v>
      </c>
      <c r="E500" s="21" t="s">
        <v>253</v>
      </c>
      <c r="F500" s="10"/>
      <c r="G500" s="117" t="s">
        <v>89</v>
      </c>
      <c r="H500" s="39">
        <f>736.1+948.9</f>
        <v>1685</v>
      </c>
      <c r="I500" s="51"/>
    </row>
    <row r="501" spans="1:9" ht="15.75">
      <c r="A501" s="125" t="s">
        <v>295</v>
      </c>
      <c r="B501" s="110" t="s">
        <v>90</v>
      </c>
      <c r="C501" s="107" t="s">
        <v>213</v>
      </c>
      <c r="D501" s="119" t="s">
        <v>133</v>
      </c>
      <c r="E501" s="107"/>
      <c r="F501" s="105"/>
      <c r="G501" s="98"/>
      <c r="H501" s="87">
        <f>H502+H512</f>
        <v>21350.6</v>
      </c>
      <c r="I501" s="100">
        <f>I502+I512</f>
        <v>0</v>
      </c>
    </row>
    <row r="502" spans="1:9" ht="15.75">
      <c r="A502" s="118" t="s">
        <v>265</v>
      </c>
      <c r="B502" s="109" t="s">
        <v>90</v>
      </c>
      <c r="C502" s="18" t="s">
        <v>213</v>
      </c>
      <c r="D502" s="33" t="s">
        <v>216</v>
      </c>
      <c r="E502" s="18"/>
      <c r="F502" s="33"/>
      <c r="G502" s="134"/>
      <c r="H502" s="91">
        <f>H503+H506+H509</f>
        <v>11970.899999999998</v>
      </c>
      <c r="I502" s="99">
        <f>I503+I506+I509</f>
        <v>0</v>
      </c>
    </row>
    <row r="503" spans="1:9" ht="15.75">
      <c r="A503" s="26" t="s">
        <v>81</v>
      </c>
      <c r="B503" s="44" t="s">
        <v>90</v>
      </c>
      <c r="C503" s="19" t="s">
        <v>213</v>
      </c>
      <c r="D503" s="31" t="s">
        <v>216</v>
      </c>
      <c r="E503" s="19" t="s">
        <v>82</v>
      </c>
      <c r="F503" s="31"/>
      <c r="G503" s="88"/>
      <c r="H503" s="39">
        <f>H504</f>
        <v>8348.9</v>
      </c>
      <c r="I503" s="50">
        <f>I504</f>
        <v>0</v>
      </c>
    </row>
    <row r="504" spans="1:9" s="24" customFormat="1" ht="15.75">
      <c r="A504" s="27" t="s">
        <v>28</v>
      </c>
      <c r="B504" s="44" t="s">
        <v>90</v>
      </c>
      <c r="C504" s="19" t="s">
        <v>213</v>
      </c>
      <c r="D504" s="31" t="s">
        <v>216</v>
      </c>
      <c r="E504" s="19" t="s">
        <v>266</v>
      </c>
      <c r="F504" s="31"/>
      <c r="G504" s="58"/>
      <c r="H504" s="39">
        <f>H505</f>
        <v>8348.9</v>
      </c>
      <c r="I504" s="50">
        <f>I505</f>
        <v>0</v>
      </c>
    </row>
    <row r="505" spans="1:9" ht="15.75">
      <c r="A505" s="8" t="s">
        <v>189</v>
      </c>
      <c r="B505" s="44" t="s">
        <v>90</v>
      </c>
      <c r="C505" s="19" t="s">
        <v>213</v>
      </c>
      <c r="D505" s="31" t="s">
        <v>216</v>
      </c>
      <c r="E505" s="19" t="s">
        <v>266</v>
      </c>
      <c r="F505" s="31"/>
      <c r="G505" s="88" t="s">
        <v>89</v>
      </c>
      <c r="H505" s="39">
        <f>7187+836.4+70+241+14.5</f>
        <v>8348.9</v>
      </c>
      <c r="I505" s="51"/>
    </row>
    <row r="506" spans="1:9" ht="15.75">
      <c r="A506" s="48" t="s">
        <v>120</v>
      </c>
      <c r="B506" s="44" t="s">
        <v>90</v>
      </c>
      <c r="C506" s="19" t="s">
        <v>213</v>
      </c>
      <c r="D506" s="31" t="s">
        <v>216</v>
      </c>
      <c r="E506" s="19" t="s">
        <v>44</v>
      </c>
      <c r="F506" s="31"/>
      <c r="G506" s="88"/>
      <c r="H506" s="39">
        <f>H507</f>
        <v>1461.3</v>
      </c>
      <c r="I506" s="50">
        <f>I507</f>
        <v>0</v>
      </c>
    </row>
    <row r="507" spans="1:9" ht="15.75">
      <c r="A507" s="48" t="s">
        <v>296</v>
      </c>
      <c r="B507" s="44" t="s">
        <v>90</v>
      </c>
      <c r="C507" s="19" t="s">
        <v>213</v>
      </c>
      <c r="D507" s="31" t="s">
        <v>216</v>
      </c>
      <c r="E507" s="19" t="s">
        <v>268</v>
      </c>
      <c r="F507" s="7"/>
      <c r="G507" s="58"/>
      <c r="H507" s="39">
        <f>H508</f>
        <v>1461.3</v>
      </c>
      <c r="I507" s="50">
        <f>I508</f>
        <v>0</v>
      </c>
    </row>
    <row r="508" spans="1:9" ht="15.75">
      <c r="A508" s="8" t="s">
        <v>189</v>
      </c>
      <c r="B508" s="44" t="s">
        <v>90</v>
      </c>
      <c r="C508" s="19" t="s">
        <v>213</v>
      </c>
      <c r="D508" s="31" t="s">
        <v>216</v>
      </c>
      <c r="E508" s="19" t="s">
        <v>268</v>
      </c>
      <c r="F508" s="31"/>
      <c r="G508" s="88" t="s">
        <v>89</v>
      </c>
      <c r="H508" s="39">
        <f>1705-1160.7+1163.6-700+138.2+10-10+80+72+102.2+61</f>
        <v>1461.3</v>
      </c>
      <c r="I508" s="51"/>
    </row>
    <row r="509" spans="1:9" ht="15.75">
      <c r="A509" s="26" t="s">
        <v>143</v>
      </c>
      <c r="B509" s="44" t="s">
        <v>90</v>
      </c>
      <c r="C509" s="19" t="s">
        <v>213</v>
      </c>
      <c r="D509" s="31" t="s">
        <v>216</v>
      </c>
      <c r="E509" s="19" t="s">
        <v>144</v>
      </c>
      <c r="F509" s="31"/>
      <c r="G509" s="88"/>
      <c r="H509" s="39">
        <f>H510</f>
        <v>2160.7</v>
      </c>
      <c r="I509" s="50">
        <f>I510</f>
        <v>0</v>
      </c>
    </row>
    <row r="510" spans="1:9" ht="26.25">
      <c r="A510" s="113" t="s">
        <v>297</v>
      </c>
      <c r="B510" s="44" t="s">
        <v>90</v>
      </c>
      <c r="C510" s="19" t="s">
        <v>213</v>
      </c>
      <c r="D510" s="31" t="s">
        <v>216</v>
      </c>
      <c r="E510" s="19" t="s">
        <v>298</v>
      </c>
      <c r="F510" s="31"/>
      <c r="G510" s="88"/>
      <c r="H510" s="39">
        <f>H511</f>
        <v>2160.7</v>
      </c>
      <c r="I510" s="50">
        <f>I511</f>
        <v>0</v>
      </c>
    </row>
    <row r="511" spans="1:9" ht="15.75">
      <c r="A511" s="8" t="s">
        <v>189</v>
      </c>
      <c r="B511" s="44" t="s">
        <v>90</v>
      </c>
      <c r="C511" s="19" t="s">
        <v>213</v>
      </c>
      <c r="D511" s="31" t="s">
        <v>216</v>
      </c>
      <c r="E511" s="19" t="s">
        <v>298</v>
      </c>
      <c r="F511" s="31"/>
      <c r="G511" s="88" t="s">
        <v>89</v>
      </c>
      <c r="H511" s="39">
        <f>1160.7+1000</f>
        <v>2160.7</v>
      </c>
      <c r="I511" s="51"/>
    </row>
    <row r="512" spans="1:9" ht="15.75">
      <c r="A512" s="125" t="s">
        <v>47</v>
      </c>
      <c r="B512" s="110" t="s">
        <v>90</v>
      </c>
      <c r="C512" s="107" t="s">
        <v>213</v>
      </c>
      <c r="D512" s="119" t="s">
        <v>214</v>
      </c>
      <c r="E512" s="107"/>
      <c r="F512" s="119"/>
      <c r="G512" s="131"/>
      <c r="H512" s="87">
        <f aca="true" t="shared" si="34" ref="H512:I514">H513</f>
        <v>9379.699999999999</v>
      </c>
      <c r="I512" s="100">
        <f t="shared" si="34"/>
        <v>0</v>
      </c>
    </row>
    <row r="513" spans="1:9" ht="15.75">
      <c r="A513" s="48" t="s">
        <v>160</v>
      </c>
      <c r="B513" s="44" t="s">
        <v>90</v>
      </c>
      <c r="C513" s="19" t="s">
        <v>213</v>
      </c>
      <c r="D513" s="31" t="s">
        <v>214</v>
      </c>
      <c r="E513" s="19" t="s">
        <v>327</v>
      </c>
      <c r="F513" s="31"/>
      <c r="G513" s="88"/>
      <c r="H513" s="39">
        <f t="shared" si="34"/>
        <v>9379.699999999999</v>
      </c>
      <c r="I513" s="50">
        <f t="shared" si="34"/>
        <v>0</v>
      </c>
    </row>
    <row r="514" spans="1:9" s="24" customFormat="1" ht="15.75">
      <c r="A514" s="28" t="s">
        <v>52</v>
      </c>
      <c r="B514" s="44" t="s">
        <v>90</v>
      </c>
      <c r="C514" s="19" t="s">
        <v>213</v>
      </c>
      <c r="D514" s="31" t="s">
        <v>214</v>
      </c>
      <c r="E514" s="19" t="s">
        <v>332</v>
      </c>
      <c r="F514" s="7"/>
      <c r="G514" s="88"/>
      <c r="H514" s="39">
        <f t="shared" si="34"/>
        <v>9379.699999999999</v>
      </c>
      <c r="I514" s="50">
        <f t="shared" si="34"/>
        <v>0</v>
      </c>
    </row>
    <row r="515" spans="1:9" ht="16.5" thickBot="1">
      <c r="A515" s="28" t="s">
        <v>159</v>
      </c>
      <c r="B515" s="45" t="s">
        <v>90</v>
      </c>
      <c r="C515" s="21" t="s">
        <v>213</v>
      </c>
      <c r="D515" s="32" t="s">
        <v>214</v>
      </c>
      <c r="E515" s="21" t="s">
        <v>332</v>
      </c>
      <c r="F515" s="5"/>
      <c r="G515" s="53" t="s">
        <v>329</v>
      </c>
      <c r="H515" s="37">
        <f>6459.9+978+1941.8</f>
        <v>9379.699999999999</v>
      </c>
      <c r="I515" s="54"/>
    </row>
    <row r="516" spans="1:9" ht="38.25" thickBot="1">
      <c r="A516" s="81" t="s">
        <v>128</v>
      </c>
      <c r="B516" s="29" t="s">
        <v>91</v>
      </c>
      <c r="C516" s="22"/>
      <c r="D516" s="13"/>
      <c r="E516" s="22"/>
      <c r="F516" s="13"/>
      <c r="G516" s="56"/>
      <c r="H516" s="150">
        <f>H517+H525+H537</f>
        <v>65736.5</v>
      </c>
      <c r="I516" s="150">
        <f>I517+I525+I537</f>
        <v>13633.3</v>
      </c>
    </row>
    <row r="517" spans="1:9" ht="15.75">
      <c r="A517" s="118" t="s">
        <v>18</v>
      </c>
      <c r="B517" s="109" t="s">
        <v>91</v>
      </c>
      <c r="C517" s="361" t="s">
        <v>206</v>
      </c>
      <c r="D517" s="361" t="s">
        <v>133</v>
      </c>
      <c r="E517" s="356"/>
      <c r="F517" s="33"/>
      <c r="G517" s="339"/>
      <c r="H517" s="364">
        <f>H518</f>
        <v>50356.1</v>
      </c>
      <c r="I517" s="41">
        <f>I518</f>
        <v>0</v>
      </c>
    </row>
    <row r="518" spans="1:9" ht="15.75">
      <c r="A518" s="28" t="s">
        <v>83</v>
      </c>
      <c r="B518" s="43" t="s">
        <v>91</v>
      </c>
      <c r="C518" s="23" t="s">
        <v>206</v>
      </c>
      <c r="D518" s="23" t="s">
        <v>211</v>
      </c>
      <c r="E518" s="357"/>
      <c r="F518" s="30"/>
      <c r="G518" s="340"/>
      <c r="H518" s="365">
        <f>H519+H522</f>
        <v>50356.1</v>
      </c>
      <c r="I518" s="38">
        <f>I519+I522</f>
        <v>0</v>
      </c>
    </row>
    <row r="519" spans="1:9" ht="15.75">
      <c r="A519" s="26" t="s">
        <v>19</v>
      </c>
      <c r="B519" s="44" t="s">
        <v>91</v>
      </c>
      <c r="C519" s="19" t="s">
        <v>206</v>
      </c>
      <c r="D519" s="19" t="s">
        <v>211</v>
      </c>
      <c r="E519" s="324" t="s">
        <v>327</v>
      </c>
      <c r="F519" s="31"/>
      <c r="G519" s="341"/>
      <c r="H519" s="366">
        <f>H520</f>
        <v>15964.1</v>
      </c>
      <c r="I519" s="39">
        <f>I520</f>
        <v>0</v>
      </c>
    </row>
    <row r="520" spans="1:9" ht="15.75">
      <c r="A520" s="8" t="s">
        <v>52</v>
      </c>
      <c r="B520" s="45" t="s">
        <v>91</v>
      </c>
      <c r="C520" s="21" t="s">
        <v>206</v>
      </c>
      <c r="D520" s="21" t="s">
        <v>211</v>
      </c>
      <c r="E520" s="358" t="s">
        <v>332</v>
      </c>
      <c r="F520" s="32"/>
      <c r="G520" s="363"/>
      <c r="H520" s="367">
        <f>H521</f>
        <v>15964.1</v>
      </c>
      <c r="I520" s="369"/>
    </row>
    <row r="521" spans="1:9" ht="15.75">
      <c r="A521" s="28" t="s">
        <v>159</v>
      </c>
      <c r="B521" s="45" t="s">
        <v>91</v>
      </c>
      <c r="C521" s="21" t="s">
        <v>206</v>
      </c>
      <c r="D521" s="21" t="s">
        <v>211</v>
      </c>
      <c r="E521" s="358" t="s">
        <v>332</v>
      </c>
      <c r="F521" s="32"/>
      <c r="G521" s="363" t="s">
        <v>329</v>
      </c>
      <c r="H521" s="367">
        <f>11636.1+540+1502+2286</f>
        <v>15964.1</v>
      </c>
      <c r="I521" s="369"/>
    </row>
    <row r="522" spans="1:9" ht="26.25">
      <c r="A522" s="48" t="s">
        <v>225</v>
      </c>
      <c r="B522" s="44" t="s">
        <v>91</v>
      </c>
      <c r="C522" s="19" t="s">
        <v>206</v>
      </c>
      <c r="D522" s="19" t="s">
        <v>211</v>
      </c>
      <c r="E522" s="324" t="s">
        <v>150</v>
      </c>
      <c r="F522" s="31"/>
      <c r="G522" s="341"/>
      <c r="H522" s="366">
        <f>H523</f>
        <v>34392</v>
      </c>
      <c r="I522" s="39">
        <f>I523</f>
        <v>0</v>
      </c>
    </row>
    <row r="523" spans="1:9" ht="15.75">
      <c r="A523" s="93" t="s">
        <v>80</v>
      </c>
      <c r="B523" s="44" t="s">
        <v>91</v>
      </c>
      <c r="C523" s="19" t="s">
        <v>206</v>
      </c>
      <c r="D523" s="19" t="s">
        <v>211</v>
      </c>
      <c r="E523" s="324" t="s">
        <v>224</v>
      </c>
      <c r="F523" s="31"/>
      <c r="G523" s="341"/>
      <c r="H523" s="366">
        <f>H524</f>
        <v>34392</v>
      </c>
      <c r="I523" s="39">
        <f>I524</f>
        <v>0</v>
      </c>
    </row>
    <row r="524" spans="1:9" ht="15.75">
      <c r="A524" s="8" t="s">
        <v>159</v>
      </c>
      <c r="B524" s="45" t="s">
        <v>91</v>
      </c>
      <c r="C524" s="21" t="s">
        <v>206</v>
      </c>
      <c r="D524" s="21" t="s">
        <v>211</v>
      </c>
      <c r="E524" s="358" t="s">
        <v>224</v>
      </c>
      <c r="F524" s="32" t="s">
        <v>51</v>
      </c>
      <c r="G524" s="341" t="s">
        <v>329</v>
      </c>
      <c r="H524" s="366">
        <f>32070+105+700+980+150-872+1259</f>
        <v>34392</v>
      </c>
      <c r="I524" s="370"/>
    </row>
    <row r="525" spans="1:9" ht="15.75">
      <c r="A525" s="125" t="s">
        <v>24</v>
      </c>
      <c r="B525" s="110" t="s">
        <v>91</v>
      </c>
      <c r="C525" s="107" t="s">
        <v>221</v>
      </c>
      <c r="D525" s="107" t="s">
        <v>133</v>
      </c>
      <c r="E525" s="359"/>
      <c r="F525" s="119"/>
      <c r="G525" s="344"/>
      <c r="H525" s="368">
        <f>H526+H533</f>
        <v>1747.1</v>
      </c>
      <c r="I525" s="87">
        <f>I526</f>
        <v>0</v>
      </c>
    </row>
    <row r="526" spans="1:9" ht="19.5" customHeight="1">
      <c r="A526" s="28" t="s">
        <v>72</v>
      </c>
      <c r="B526" s="43" t="s">
        <v>91</v>
      </c>
      <c r="C526" s="23" t="s">
        <v>221</v>
      </c>
      <c r="D526" s="23" t="s">
        <v>206</v>
      </c>
      <c r="E526" s="357"/>
      <c r="F526" s="30"/>
      <c r="G526" s="340"/>
      <c r="H526" s="365">
        <f>H530+H527</f>
        <v>1587.1</v>
      </c>
      <c r="I526" s="38">
        <f>I530</f>
        <v>0</v>
      </c>
    </row>
    <row r="527" spans="1:9" ht="15.75">
      <c r="A527" s="26" t="s">
        <v>25</v>
      </c>
      <c r="B527" s="44" t="s">
        <v>91</v>
      </c>
      <c r="C527" s="19" t="s">
        <v>221</v>
      </c>
      <c r="D527" s="19" t="s">
        <v>206</v>
      </c>
      <c r="E527" s="324" t="s">
        <v>26</v>
      </c>
      <c r="F527" s="31"/>
      <c r="G527" s="341"/>
      <c r="H527" s="366">
        <f>H528</f>
        <v>1587.1</v>
      </c>
      <c r="I527" s="39"/>
    </row>
    <row r="528" spans="1:9" ht="15.75">
      <c r="A528" s="48" t="s">
        <v>222</v>
      </c>
      <c r="B528" s="44" t="s">
        <v>91</v>
      </c>
      <c r="C528" s="19" t="s">
        <v>221</v>
      </c>
      <c r="D528" s="19" t="s">
        <v>206</v>
      </c>
      <c r="E528" s="324" t="s">
        <v>223</v>
      </c>
      <c r="F528" s="31"/>
      <c r="G528" s="341"/>
      <c r="H528" s="366">
        <f>H529</f>
        <v>1587.1</v>
      </c>
      <c r="I528" s="39"/>
    </row>
    <row r="529" spans="1:9" ht="15.75">
      <c r="A529" s="71" t="s">
        <v>159</v>
      </c>
      <c r="B529" s="44" t="s">
        <v>91</v>
      </c>
      <c r="C529" s="19" t="s">
        <v>221</v>
      </c>
      <c r="D529" s="19" t="s">
        <v>206</v>
      </c>
      <c r="E529" s="324" t="s">
        <v>223</v>
      </c>
      <c r="F529" s="31"/>
      <c r="G529" s="341" t="s">
        <v>329</v>
      </c>
      <c r="H529" s="366">
        <f>94.1+300+100+500+93+500</f>
        <v>1587.1</v>
      </c>
      <c r="I529" s="39"/>
    </row>
    <row r="530" spans="1:9" ht="15.75">
      <c r="A530" s="114" t="s">
        <v>273</v>
      </c>
      <c r="B530" s="44" t="s">
        <v>91</v>
      </c>
      <c r="C530" s="19" t="s">
        <v>221</v>
      </c>
      <c r="D530" s="19" t="s">
        <v>206</v>
      </c>
      <c r="E530" s="324" t="s">
        <v>93</v>
      </c>
      <c r="F530" s="31"/>
      <c r="G530" s="341"/>
      <c r="H530" s="366">
        <f>H531</f>
        <v>0</v>
      </c>
      <c r="I530" s="39">
        <f>I531</f>
        <v>0</v>
      </c>
    </row>
    <row r="531" spans="1:9" ht="39">
      <c r="A531" s="126" t="s">
        <v>422</v>
      </c>
      <c r="B531" s="44" t="s">
        <v>91</v>
      </c>
      <c r="C531" s="19" t="s">
        <v>221</v>
      </c>
      <c r="D531" s="19" t="s">
        <v>206</v>
      </c>
      <c r="E531" s="324" t="s">
        <v>282</v>
      </c>
      <c r="F531" s="31"/>
      <c r="G531" s="341"/>
      <c r="H531" s="366">
        <f>H532</f>
        <v>0</v>
      </c>
      <c r="I531" s="39">
        <f>I532</f>
        <v>0</v>
      </c>
    </row>
    <row r="532" spans="1:9" ht="15.75">
      <c r="A532" s="8" t="s">
        <v>162</v>
      </c>
      <c r="B532" s="44" t="s">
        <v>91</v>
      </c>
      <c r="C532" s="19" t="s">
        <v>221</v>
      </c>
      <c r="D532" s="19" t="s">
        <v>206</v>
      </c>
      <c r="E532" s="324" t="s">
        <v>282</v>
      </c>
      <c r="F532" s="31"/>
      <c r="G532" s="341" t="s">
        <v>140</v>
      </c>
      <c r="H532" s="366">
        <f>17210-17210</f>
        <v>0</v>
      </c>
      <c r="I532" s="39">
        <f>17210-17210</f>
        <v>0</v>
      </c>
    </row>
    <row r="533" spans="1:9" ht="15.75">
      <c r="A533" s="8" t="s">
        <v>3</v>
      </c>
      <c r="B533" s="44" t="s">
        <v>91</v>
      </c>
      <c r="C533" s="19" t="s">
        <v>221</v>
      </c>
      <c r="D533" s="19" t="s">
        <v>207</v>
      </c>
      <c r="E533" s="324"/>
      <c r="F533" s="31"/>
      <c r="G533" s="341"/>
      <c r="H533" s="366">
        <f>H534</f>
        <v>160</v>
      </c>
      <c r="I533" s="39"/>
    </row>
    <row r="534" spans="1:9" ht="15.75">
      <c r="A534" s="8" t="s">
        <v>56</v>
      </c>
      <c r="B534" s="44" t="s">
        <v>91</v>
      </c>
      <c r="C534" s="19" t="s">
        <v>221</v>
      </c>
      <c r="D534" s="19" t="s">
        <v>207</v>
      </c>
      <c r="E534" s="324" t="s">
        <v>78</v>
      </c>
      <c r="F534" s="31"/>
      <c r="G534" s="341"/>
      <c r="H534" s="366">
        <f>H535</f>
        <v>160</v>
      </c>
      <c r="I534" s="39"/>
    </row>
    <row r="535" spans="1:9" ht="15.75">
      <c r="A535" s="8" t="s">
        <v>373</v>
      </c>
      <c r="B535" s="44" t="s">
        <v>91</v>
      </c>
      <c r="C535" s="19" t="s">
        <v>221</v>
      </c>
      <c r="D535" s="19" t="s">
        <v>207</v>
      </c>
      <c r="E535" s="324" t="s">
        <v>374</v>
      </c>
      <c r="F535" s="31"/>
      <c r="G535" s="341"/>
      <c r="H535" s="366">
        <f>H536</f>
        <v>160</v>
      </c>
      <c r="I535" s="39"/>
    </row>
    <row r="536" spans="1:9" ht="15.75">
      <c r="A536" s="8" t="s">
        <v>159</v>
      </c>
      <c r="B536" s="44" t="s">
        <v>91</v>
      </c>
      <c r="C536" s="19" t="s">
        <v>221</v>
      </c>
      <c r="D536" s="19" t="s">
        <v>207</v>
      </c>
      <c r="E536" s="7" t="s">
        <v>374</v>
      </c>
      <c r="F536" s="12" t="s">
        <v>329</v>
      </c>
      <c r="G536" s="341" t="s">
        <v>329</v>
      </c>
      <c r="H536" s="366">
        <v>160</v>
      </c>
      <c r="I536" s="39"/>
    </row>
    <row r="537" spans="1:9" ht="15.75">
      <c r="A537" s="8" t="s">
        <v>5</v>
      </c>
      <c r="B537" s="44" t="s">
        <v>91</v>
      </c>
      <c r="C537" s="19" t="s">
        <v>214</v>
      </c>
      <c r="D537" s="19" t="s">
        <v>133</v>
      </c>
      <c r="E537" s="7"/>
      <c r="F537" s="12"/>
      <c r="G537" s="341"/>
      <c r="H537" s="366">
        <f>H538</f>
        <v>13633.3</v>
      </c>
      <c r="I537" s="39">
        <f>I538</f>
        <v>13633.3</v>
      </c>
    </row>
    <row r="538" spans="1:9" ht="15.75">
      <c r="A538" s="8" t="s">
        <v>101</v>
      </c>
      <c r="B538" s="44" t="s">
        <v>91</v>
      </c>
      <c r="C538" s="19" t="s">
        <v>214</v>
      </c>
      <c r="D538" s="19" t="s">
        <v>212</v>
      </c>
      <c r="E538" s="7"/>
      <c r="F538" s="12"/>
      <c r="G538" s="341"/>
      <c r="H538" s="366">
        <f>H541+H539</f>
        <v>13633.3</v>
      </c>
      <c r="I538" s="39">
        <f>I541+I539</f>
        <v>13633.3</v>
      </c>
    </row>
    <row r="539" spans="1:9" ht="39">
      <c r="A539" s="113" t="s">
        <v>399</v>
      </c>
      <c r="B539" s="44" t="s">
        <v>91</v>
      </c>
      <c r="C539" s="19" t="s">
        <v>214</v>
      </c>
      <c r="D539" s="19" t="s">
        <v>212</v>
      </c>
      <c r="E539" s="7" t="s">
        <v>400</v>
      </c>
      <c r="F539" s="12"/>
      <c r="G539" s="341"/>
      <c r="H539" s="366">
        <f>H540</f>
        <v>4904</v>
      </c>
      <c r="I539" s="39">
        <f>I540</f>
        <v>4904</v>
      </c>
    </row>
    <row r="540" spans="1:9" ht="15.75">
      <c r="A540" s="8" t="s">
        <v>305</v>
      </c>
      <c r="B540" s="44" t="s">
        <v>91</v>
      </c>
      <c r="C540" s="19" t="s">
        <v>214</v>
      </c>
      <c r="D540" s="19" t="s">
        <v>212</v>
      </c>
      <c r="E540" s="7" t="s">
        <v>400</v>
      </c>
      <c r="F540" s="12"/>
      <c r="G540" s="341" t="s">
        <v>53</v>
      </c>
      <c r="H540" s="366">
        <v>4904</v>
      </c>
      <c r="I540" s="39">
        <v>4904</v>
      </c>
    </row>
    <row r="541" spans="1:9" ht="39">
      <c r="A541" s="113" t="s">
        <v>422</v>
      </c>
      <c r="B541" s="44" t="s">
        <v>91</v>
      </c>
      <c r="C541" s="19" t="s">
        <v>214</v>
      </c>
      <c r="D541" s="19" t="s">
        <v>212</v>
      </c>
      <c r="E541" s="7" t="s">
        <v>282</v>
      </c>
      <c r="F541" s="12"/>
      <c r="G541" s="341"/>
      <c r="H541" s="366">
        <f>H542</f>
        <v>8729.3</v>
      </c>
      <c r="I541" s="39">
        <f>I542</f>
        <v>8729.3</v>
      </c>
    </row>
    <row r="542" spans="1:9" ht="16.5" thickBot="1">
      <c r="A542" s="8" t="s">
        <v>305</v>
      </c>
      <c r="B542" s="44" t="s">
        <v>91</v>
      </c>
      <c r="C542" s="362" t="s">
        <v>214</v>
      </c>
      <c r="D542" s="19" t="s">
        <v>212</v>
      </c>
      <c r="E542" s="7" t="s">
        <v>282</v>
      </c>
      <c r="F542" s="12" t="s">
        <v>53</v>
      </c>
      <c r="G542" s="346" t="s">
        <v>53</v>
      </c>
      <c r="H542" s="366">
        <f>17210+254-8734.7</f>
        <v>8729.3</v>
      </c>
      <c r="I542" s="371">
        <f>17210+254-8734.7</f>
        <v>8729.3</v>
      </c>
    </row>
    <row r="543" spans="1:9" ht="21.75" customHeight="1" thickBot="1">
      <c r="A543" s="149" t="s">
        <v>342</v>
      </c>
      <c r="B543" s="253" t="s">
        <v>343</v>
      </c>
      <c r="C543" s="253"/>
      <c r="D543" s="20"/>
      <c r="E543" s="360"/>
      <c r="F543" s="25"/>
      <c r="G543" s="263"/>
      <c r="H543" s="40">
        <f aca="true" t="shared" si="35" ref="H543:I545">H544</f>
        <v>18272</v>
      </c>
      <c r="I543" s="266">
        <f t="shared" si="35"/>
        <v>0</v>
      </c>
    </row>
    <row r="544" spans="1:9" ht="15.75">
      <c r="A544" s="118" t="s">
        <v>122</v>
      </c>
      <c r="B544" s="109" t="s">
        <v>343</v>
      </c>
      <c r="C544" s="18" t="s">
        <v>212</v>
      </c>
      <c r="D544" s="256"/>
      <c r="E544" s="146"/>
      <c r="F544" s="147"/>
      <c r="G544" s="148"/>
      <c r="H544" s="38">
        <f>H545+H562</f>
        <v>18272</v>
      </c>
      <c r="I544" s="86">
        <f>I545+I562</f>
        <v>0</v>
      </c>
    </row>
    <row r="545" spans="1:9" s="24" customFormat="1" ht="15.75">
      <c r="A545" s="118" t="s">
        <v>21</v>
      </c>
      <c r="B545" s="109" t="s">
        <v>343</v>
      </c>
      <c r="C545" s="18" t="s">
        <v>212</v>
      </c>
      <c r="D545" s="33" t="s">
        <v>207</v>
      </c>
      <c r="E545" s="18"/>
      <c r="F545" s="33"/>
      <c r="G545" s="134"/>
      <c r="H545" s="39">
        <f t="shared" si="35"/>
        <v>14777</v>
      </c>
      <c r="I545" s="50">
        <f t="shared" si="35"/>
        <v>0</v>
      </c>
    </row>
    <row r="546" spans="1:9" ht="15.75">
      <c r="A546" s="26" t="s">
        <v>88</v>
      </c>
      <c r="B546" s="43" t="s">
        <v>344</v>
      </c>
      <c r="C546" s="23" t="s">
        <v>212</v>
      </c>
      <c r="D546" s="31" t="s">
        <v>207</v>
      </c>
      <c r="E546" s="19" t="s">
        <v>54</v>
      </c>
      <c r="F546" s="31"/>
      <c r="G546" s="88"/>
      <c r="H546" s="39">
        <f>H547+H549+H552+H555+H557+H560</f>
        <v>14777</v>
      </c>
      <c r="I546" s="50">
        <f>I547+I549+I552+I555+I557+I560</f>
        <v>0</v>
      </c>
    </row>
    <row r="547" spans="1:9" ht="39">
      <c r="A547" s="113" t="s">
        <v>169</v>
      </c>
      <c r="B547" s="43" t="s">
        <v>343</v>
      </c>
      <c r="C547" s="23" t="s">
        <v>212</v>
      </c>
      <c r="D547" s="31" t="s">
        <v>207</v>
      </c>
      <c r="E547" s="19" t="s">
        <v>168</v>
      </c>
      <c r="F547" s="31"/>
      <c r="G547" s="58"/>
      <c r="H547" s="39">
        <f>H548</f>
        <v>3143</v>
      </c>
      <c r="I547" s="50">
        <f>I548</f>
        <v>0</v>
      </c>
    </row>
    <row r="548" spans="1:9" ht="26.25">
      <c r="A548" s="48" t="s">
        <v>170</v>
      </c>
      <c r="B548" s="43" t="s">
        <v>343</v>
      </c>
      <c r="C548" s="23" t="s">
        <v>212</v>
      </c>
      <c r="D548" s="31" t="s">
        <v>207</v>
      </c>
      <c r="E548" s="19" t="s">
        <v>168</v>
      </c>
      <c r="F548" s="31"/>
      <c r="G548" s="52" t="s">
        <v>141</v>
      </c>
      <c r="H548" s="39">
        <f>1130+2013</f>
        <v>3143</v>
      </c>
      <c r="I548" s="50">
        <f>1130+2013-3143</f>
        <v>0</v>
      </c>
    </row>
    <row r="549" spans="1:9" ht="15.75">
      <c r="A549" s="26" t="s">
        <v>171</v>
      </c>
      <c r="B549" s="43" t="s">
        <v>343</v>
      </c>
      <c r="C549" s="23" t="s">
        <v>212</v>
      </c>
      <c r="D549" s="31" t="s">
        <v>207</v>
      </c>
      <c r="E549" s="19" t="s">
        <v>172</v>
      </c>
      <c r="F549" s="7"/>
      <c r="G549" s="58"/>
      <c r="H549" s="39">
        <f>H550</f>
        <v>10113</v>
      </c>
      <c r="I549" s="50">
        <f>I550</f>
        <v>0</v>
      </c>
    </row>
    <row r="550" spans="1:9" ht="26.25">
      <c r="A550" s="48" t="s">
        <v>174</v>
      </c>
      <c r="B550" s="43" t="s">
        <v>343</v>
      </c>
      <c r="C550" s="23" t="s">
        <v>212</v>
      </c>
      <c r="D550" s="31" t="s">
        <v>207</v>
      </c>
      <c r="E550" s="19" t="s">
        <v>173</v>
      </c>
      <c r="F550" s="7"/>
      <c r="G550" s="58"/>
      <c r="H550" s="39">
        <f>H551</f>
        <v>10113</v>
      </c>
      <c r="I550" s="50">
        <f>I551</f>
        <v>0</v>
      </c>
    </row>
    <row r="551" spans="1:9" ht="26.25">
      <c r="A551" s="48" t="s">
        <v>170</v>
      </c>
      <c r="B551" s="43" t="s">
        <v>343</v>
      </c>
      <c r="C551" s="23" t="s">
        <v>212</v>
      </c>
      <c r="D551" s="31" t="s">
        <v>207</v>
      </c>
      <c r="E551" s="19" t="s">
        <v>173</v>
      </c>
      <c r="F551" s="7"/>
      <c r="G551" s="52" t="s">
        <v>141</v>
      </c>
      <c r="H551" s="39">
        <v>10113</v>
      </c>
      <c r="I551" s="50"/>
    </row>
    <row r="552" spans="1:9" ht="26.25">
      <c r="A552" s="48" t="s">
        <v>175</v>
      </c>
      <c r="B552" s="43" t="s">
        <v>343</v>
      </c>
      <c r="C552" s="23" t="s">
        <v>212</v>
      </c>
      <c r="D552" s="31" t="s">
        <v>207</v>
      </c>
      <c r="E552" s="19" t="s">
        <v>176</v>
      </c>
      <c r="F552" s="7"/>
      <c r="G552" s="58"/>
      <c r="H552" s="39">
        <f>H553</f>
        <v>515.2</v>
      </c>
      <c r="I552" s="50">
        <f>I553</f>
        <v>0</v>
      </c>
    </row>
    <row r="553" spans="1:9" ht="15.75">
      <c r="A553" s="26" t="s">
        <v>177</v>
      </c>
      <c r="B553" s="43" t="s">
        <v>343</v>
      </c>
      <c r="C553" s="23" t="s">
        <v>212</v>
      </c>
      <c r="D553" s="31" t="s">
        <v>207</v>
      </c>
      <c r="E553" s="19" t="s">
        <v>178</v>
      </c>
      <c r="F553" s="7"/>
      <c r="G553" s="52"/>
      <c r="H553" s="39">
        <f>H554</f>
        <v>515.2</v>
      </c>
      <c r="I553" s="50">
        <f>I554</f>
        <v>0</v>
      </c>
    </row>
    <row r="554" spans="1:9" ht="26.25">
      <c r="A554" s="48" t="s">
        <v>170</v>
      </c>
      <c r="B554" s="43" t="s">
        <v>343</v>
      </c>
      <c r="C554" s="23" t="s">
        <v>212</v>
      </c>
      <c r="D554" s="31" t="s">
        <v>207</v>
      </c>
      <c r="E554" s="19" t="s">
        <v>178</v>
      </c>
      <c r="F554" s="7"/>
      <c r="G554" s="52" t="s">
        <v>141</v>
      </c>
      <c r="H554" s="39">
        <v>515.2</v>
      </c>
      <c r="I554" s="50"/>
    </row>
    <row r="555" spans="1:9" ht="26.25">
      <c r="A555" s="48" t="s">
        <v>180</v>
      </c>
      <c r="B555" s="43" t="s">
        <v>343</v>
      </c>
      <c r="C555" s="19" t="s">
        <v>212</v>
      </c>
      <c r="D555" s="31" t="s">
        <v>207</v>
      </c>
      <c r="E555" s="19" t="s">
        <v>179</v>
      </c>
      <c r="F555" s="7"/>
      <c r="G555" s="58"/>
      <c r="H555" s="39">
        <f>H556</f>
        <v>740.8</v>
      </c>
      <c r="I555" s="50">
        <f>I556</f>
        <v>0</v>
      </c>
    </row>
    <row r="556" spans="1:9" ht="26.25">
      <c r="A556" s="48" t="s">
        <v>170</v>
      </c>
      <c r="B556" s="43" t="s">
        <v>343</v>
      </c>
      <c r="C556" s="19" t="s">
        <v>212</v>
      </c>
      <c r="D556" s="31" t="s">
        <v>207</v>
      </c>
      <c r="E556" s="19" t="s">
        <v>179</v>
      </c>
      <c r="F556" s="7"/>
      <c r="G556" s="52" t="s">
        <v>141</v>
      </c>
      <c r="H556" s="39">
        <v>740.8</v>
      </c>
      <c r="I556" s="50"/>
    </row>
    <row r="557" spans="1:9" ht="15.75">
      <c r="A557" s="26" t="s">
        <v>55</v>
      </c>
      <c r="B557" s="43" t="s">
        <v>343</v>
      </c>
      <c r="C557" s="19" t="s">
        <v>212</v>
      </c>
      <c r="D557" s="31" t="s">
        <v>207</v>
      </c>
      <c r="E557" s="19" t="s">
        <v>181</v>
      </c>
      <c r="F557" s="7"/>
      <c r="G557" s="58"/>
      <c r="H557" s="39">
        <f>H558</f>
        <v>160</v>
      </c>
      <c r="I557" s="50">
        <f>I558</f>
        <v>0</v>
      </c>
    </row>
    <row r="558" spans="1:9" ht="15.75">
      <c r="A558" s="26" t="s">
        <v>182</v>
      </c>
      <c r="B558" s="43" t="s">
        <v>343</v>
      </c>
      <c r="C558" s="19" t="s">
        <v>212</v>
      </c>
      <c r="D558" s="31" t="s">
        <v>207</v>
      </c>
      <c r="E558" s="19" t="s">
        <v>183</v>
      </c>
      <c r="F558" s="7"/>
      <c r="G558" s="58"/>
      <c r="H558" s="39">
        <f>H559</f>
        <v>160</v>
      </c>
      <c r="I558" s="50">
        <f>I559</f>
        <v>0</v>
      </c>
    </row>
    <row r="559" spans="1:9" ht="26.25">
      <c r="A559" s="48" t="s">
        <v>170</v>
      </c>
      <c r="B559" s="43" t="s">
        <v>343</v>
      </c>
      <c r="C559" s="19" t="s">
        <v>212</v>
      </c>
      <c r="D559" s="31" t="s">
        <v>207</v>
      </c>
      <c r="E559" s="19" t="s">
        <v>183</v>
      </c>
      <c r="F559" s="7"/>
      <c r="G559" s="52" t="s">
        <v>141</v>
      </c>
      <c r="H559" s="39">
        <v>160</v>
      </c>
      <c r="I559" s="50"/>
    </row>
    <row r="560" spans="1:9" ht="26.25">
      <c r="A560" s="113" t="s">
        <v>112</v>
      </c>
      <c r="B560" s="44" t="s">
        <v>343</v>
      </c>
      <c r="C560" s="19" t="s">
        <v>212</v>
      </c>
      <c r="D560" s="31" t="s">
        <v>207</v>
      </c>
      <c r="E560" s="19" t="s">
        <v>184</v>
      </c>
      <c r="F560" s="7"/>
      <c r="G560" s="58"/>
      <c r="H560" s="39">
        <f>H561</f>
        <v>105</v>
      </c>
      <c r="I560" s="50">
        <f>I561</f>
        <v>0</v>
      </c>
    </row>
    <row r="561" spans="1:9" ht="15.75">
      <c r="A561" s="8" t="s">
        <v>185</v>
      </c>
      <c r="B561" s="44" t="s">
        <v>343</v>
      </c>
      <c r="C561" s="19" t="s">
        <v>212</v>
      </c>
      <c r="D561" s="31" t="s">
        <v>207</v>
      </c>
      <c r="E561" s="19" t="s">
        <v>184</v>
      </c>
      <c r="F561" s="7"/>
      <c r="G561" s="52" t="s">
        <v>141</v>
      </c>
      <c r="H561" s="39">
        <v>105</v>
      </c>
      <c r="I561" s="61"/>
    </row>
    <row r="562" spans="1:9" ht="26.25">
      <c r="A562" s="245" t="s">
        <v>113</v>
      </c>
      <c r="B562" s="110" t="s">
        <v>343</v>
      </c>
      <c r="C562" s="107" t="s">
        <v>212</v>
      </c>
      <c r="D562" s="119" t="s">
        <v>211</v>
      </c>
      <c r="E562" s="107"/>
      <c r="F562" s="105"/>
      <c r="G562" s="98"/>
      <c r="H562" s="39">
        <f aca="true" t="shared" si="36" ref="H562:I564">H563</f>
        <v>3495</v>
      </c>
      <c r="I562" s="50">
        <f t="shared" si="36"/>
        <v>0</v>
      </c>
    </row>
    <row r="563" spans="1:9" ht="15.75">
      <c r="A563" s="8" t="s">
        <v>143</v>
      </c>
      <c r="B563" s="44" t="s">
        <v>343</v>
      </c>
      <c r="C563" s="19" t="s">
        <v>212</v>
      </c>
      <c r="D563" s="31" t="s">
        <v>211</v>
      </c>
      <c r="E563" s="19" t="s">
        <v>144</v>
      </c>
      <c r="F563" s="7"/>
      <c r="G563" s="52"/>
      <c r="H563" s="39">
        <f t="shared" si="36"/>
        <v>3495</v>
      </c>
      <c r="I563" s="50">
        <f t="shared" si="36"/>
        <v>0</v>
      </c>
    </row>
    <row r="564" spans="1:9" ht="39">
      <c r="A564" s="113" t="s">
        <v>310</v>
      </c>
      <c r="B564" s="44" t="s">
        <v>343</v>
      </c>
      <c r="C564" s="19" t="s">
        <v>212</v>
      </c>
      <c r="D564" s="31" t="s">
        <v>211</v>
      </c>
      <c r="E564" s="19" t="s">
        <v>311</v>
      </c>
      <c r="F564" s="7"/>
      <c r="G564" s="52"/>
      <c r="H564" s="39">
        <f t="shared" si="36"/>
        <v>3495</v>
      </c>
      <c r="I564" s="50">
        <f t="shared" si="36"/>
        <v>0</v>
      </c>
    </row>
    <row r="565" spans="1:9" ht="15.75">
      <c r="A565" s="28" t="s">
        <v>159</v>
      </c>
      <c r="B565" s="44" t="s">
        <v>343</v>
      </c>
      <c r="C565" s="21" t="s">
        <v>212</v>
      </c>
      <c r="D565" s="32" t="s">
        <v>211</v>
      </c>
      <c r="E565" s="21" t="s">
        <v>311</v>
      </c>
      <c r="F565" s="5"/>
      <c r="G565" s="130" t="s">
        <v>329</v>
      </c>
      <c r="H565" s="37">
        <v>3495</v>
      </c>
      <c r="I565" s="61"/>
    </row>
    <row r="566" spans="1:9" ht="15.75">
      <c r="A566" s="115" t="s">
        <v>367</v>
      </c>
      <c r="B566" s="110" t="s">
        <v>51</v>
      </c>
      <c r="C566" s="107" t="s">
        <v>209</v>
      </c>
      <c r="D566" s="119"/>
      <c r="E566" s="107"/>
      <c r="F566" s="105"/>
      <c r="G566" s="98"/>
      <c r="H566" s="87">
        <f>H567</f>
        <v>2414</v>
      </c>
      <c r="I566" s="100"/>
    </row>
    <row r="567" spans="1:9" ht="15.75">
      <c r="A567" s="8" t="s">
        <v>368</v>
      </c>
      <c r="B567" s="44" t="s">
        <v>51</v>
      </c>
      <c r="C567" s="19" t="s">
        <v>209</v>
      </c>
      <c r="D567" s="31" t="s">
        <v>208</v>
      </c>
      <c r="E567" s="19"/>
      <c r="F567" s="7"/>
      <c r="G567" s="52"/>
      <c r="H567" s="39">
        <f>H568</f>
        <v>2414</v>
      </c>
      <c r="I567" s="50"/>
    </row>
    <row r="568" spans="1:9" s="24" customFormat="1" ht="15.75">
      <c r="A568" s="8" t="s">
        <v>369</v>
      </c>
      <c r="B568" s="44" t="s">
        <v>51</v>
      </c>
      <c r="C568" s="19" t="s">
        <v>209</v>
      </c>
      <c r="D568" s="31" t="s">
        <v>208</v>
      </c>
      <c r="E568" s="19" t="s">
        <v>100</v>
      </c>
      <c r="F568" s="7"/>
      <c r="G568" s="52"/>
      <c r="H568" s="39">
        <f>H569</f>
        <v>2414</v>
      </c>
      <c r="I568" s="50"/>
    </row>
    <row r="569" spans="1:9" ht="15.75">
      <c r="A569" s="8" t="s">
        <v>368</v>
      </c>
      <c r="B569" s="44" t="s">
        <v>51</v>
      </c>
      <c r="C569" s="19" t="s">
        <v>209</v>
      </c>
      <c r="D569" s="31" t="s">
        <v>206</v>
      </c>
      <c r="E569" s="19" t="s">
        <v>100</v>
      </c>
      <c r="F569" s="7"/>
      <c r="G569" s="52" t="s">
        <v>370</v>
      </c>
      <c r="H569" s="39">
        <v>2414</v>
      </c>
      <c r="I569" s="50"/>
    </row>
    <row r="570" spans="1:9" ht="16.5" thickBot="1">
      <c r="A570" s="153" t="s">
        <v>76</v>
      </c>
      <c r="B570" s="154" t="s">
        <v>51</v>
      </c>
      <c r="C570" s="155" t="s">
        <v>50</v>
      </c>
      <c r="D570" s="257" t="s">
        <v>50</v>
      </c>
      <c r="E570" s="155" t="s">
        <v>49</v>
      </c>
      <c r="F570" s="156"/>
      <c r="G570" s="157" t="s">
        <v>51</v>
      </c>
      <c r="H570" s="158">
        <f>H11+H279+H360+H400+H437+H485+H516+H543+H566</f>
        <v>2335675.9000000004</v>
      </c>
      <c r="I570" s="271">
        <f>I11+I279+I360+I400+I437+I485+I516+I543+I566</f>
        <v>569632.7000000001</v>
      </c>
    </row>
    <row r="572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2008-11-13T09:43:33Z</cp:lastPrinted>
  <dcterms:created xsi:type="dcterms:W3CDTF">2002-11-11T07:39:40Z</dcterms:created>
  <dcterms:modified xsi:type="dcterms:W3CDTF">2008-11-14T13:01:17Z</dcterms:modified>
  <cp:category/>
  <cp:version/>
  <cp:contentType/>
  <cp:contentStatus/>
</cp:coreProperties>
</file>